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hige\Desktop\’２１_前期リーグ戦関係\"/>
    </mc:Choice>
  </mc:AlternateContent>
  <xr:revisionPtr revIDLastSave="0" documentId="13_ncr:1_{A0DB27C0-C2ED-4193-81DF-2FC37F20DC9E}" xr6:coauthVersionLast="46" xr6:coauthVersionMax="46" xr10:uidLastSave="{00000000-0000-0000-0000-000000000000}"/>
  <bookViews>
    <workbookView xWindow="-120" yWindow="-120" windowWidth="20730" windowHeight="11160" tabRatio="686" xr2:uid="{00000000-000D-0000-FFFF-FFFF00000000}"/>
  </bookViews>
  <sheets>
    <sheet name="U10組合せ" sheetId="14" r:id="rId1"/>
    <sheet name="Sheet2" sheetId="18" state="hidden" r:id="rId2"/>
    <sheet name="U10対戦スケジュール" sheetId="16" r:id="rId3"/>
    <sheet name="Ａブロック対戦表" sheetId="20" r:id="rId4"/>
    <sheet name="Bブロック対戦表" sheetId="21" r:id="rId5"/>
    <sheet name="Cブロック対戦表" sheetId="22" r:id="rId6"/>
    <sheet name="Ｕ10リーグ ブロック別星取表" sheetId="23" r:id="rId7"/>
    <sheet name="●" sheetId="3" r:id="rId8"/>
    <sheet name="Sheet3" sheetId="19" r:id="rId9"/>
    <sheet name="U１2順位 " sheetId="10" state="hidden" r:id="rId10"/>
  </sheets>
  <definedNames>
    <definedName name="_xlnm.Print_Area" localSheetId="3">Ａブロック対戦表!$A$1:$AQ$249</definedName>
    <definedName name="_xlnm.Print_Area" localSheetId="4">Bブロック対戦表!$A$1:$AQ$190</definedName>
    <definedName name="_xlnm.Print_Area" localSheetId="5">Cブロック対戦表!$A$1:$AU$190</definedName>
    <definedName name="_xlnm.Print_Area" localSheetId="0">U10組合せ!$B$1:$L$61</definedName>
    <definedName name="_xlnm.Print_Area" localSheetId="9">'U１2順位 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" i="16" l="1"/>
  <c r="AC14" i="16"/>
  <c r="AC25" i="16"/>
  <c r="AC33" i="16"/>
  <c r="AC43" i="16"/>
  <c r="AC51" i="16"/>
  <c r="AC61" i="16"/>
  <c r="AA69" i="16"/>
  <c r="AB69" i="16"/>
  <c r="AC69" i="16"/>
  <c r="AJ200" i="20"/>
  <c r="AK200" i="20"/>
  <c r="AL200" i="20"/>
  <c r="AM200" i="20"/>
  <c r="AN200" i="20"/>
  <c r="AO200" i="20"/>
  <c r="AP200" i="20"/>
  <c r="AI201" i="20"/>
  <c r="AJ201" i="20"/>
  <c r="AK201" i="20"/>
  <c r="AL201" i="20"/>
  <c r="AM201" i="20"/>
  <c r="AN201" i="20"/>
  <c r="AO201" i="20"/>
  <c r="AP201" i="20"/>
  <c r="AJ169" i="20" l="1"/>
  <c r="AK169" i="20"/>
  <c r="AL169" i="20"/>
  <c r="AM169" i="20"/>
  <c r="AN169" i="20"/>
  <c r="AO169" i="20"/>
  <c r="AP169" i="20"/>
  <c r="AI170" i="20"/>
  <c r="AJ170" i="20"/>
  <c r="AK170" i="20"/>
  <c r="AL170" i="20"/>
  <c r="AM170" i="20"/>
  <c r="AN170" i="20"/>
  <c r="AO170" i="20"/>
  <c r="AP170" i="20"/>
  <c r="AJ171" i="20"/>
  <c r="AK171" i="20"/>
  <c r="AL171" i="20"/>
  <c r="AM171" i="20"/>
  <c r="AN171" i="20"/>
  <c r="AO171" i="20"/>
  <c r="AP171" i="20"/>
  <c r="AI172" i="20"/>
  <c r="AJ172" i="20"/>
  <c r="AK172" i="20"/>
  <c r="AL172" i="20"/>
  <c r="AM172" i="20"/>
  <c r="AN172" i="20"/>
  <c r="AO172" i="20"/>
  <c r="AP172" i="20"/>
  <c r="AJ173" i="20"/>
  <c r="AK173" i="20"/>
  <c r="AL173" i="20"/>
  <c r="AM173" i="20"/>
  <c r="AN173" i="20"/>
  <c r="AO173" i="20"/>
  <c r="AP173" i="20"/>
  <c r="AI174" i="20"/>
  <c r="AJ174" i="20"/>
  <c r="AK174" i="20"/>
  <c r="AL174" i="20"/>
  <c r="AM174" i="20"/>
  <c r="AN174" i="20"/>
  <c r="AO174" i="20"/>
  <c r="AP174" i="20"/>
  <c r="B47" i="21"/>
  <c r="B18" i="21"/>
  <c r="B16" i="21"/>
  <c r="B49" i="21"/>
  <c r="B45" i="21"/>
  <c r="B14" i="21"/>
  <c r="G161" i="21" l="1"/>
  <c r="G129" i="21"/>
  <c r="G97" i="21"/>
  <c r="G65" i="21"/>
  <c r="G161" i="22"/>
  <c r="G129" i="22"/>
  <c r="G97" i="22"/>
  <c r="G65" i="22"/>
  <c r="M3" i="19" l="1"/>
  <c r="K10" i="19"/>
  <c r="J10" i="19"/>
  <c r="J9" i="19"/>
  <c r="I10" i="19"/>
  <c r="I9" i="19"/>
  <c r="I8" i="19"/>
  <c r="H10" i="19"/>
  <c r="H9" i="19"/>
  <c r="H8" i="19"/>
  <c r="H7" i="19"/>
  <c r="G10" i="19"/>
  <c r="G9" i="19"/>
  <c r="G8" i="19"/>
  <c r="G7" i="19"/>
  <c r="G6" i="19"/>
  <c r="F10" i="19"/>
  <c r="F9" i="19"/>
  <c r="F8" i="19"/>
  <c r="F7" i="19"/>
  <c r="F6" i="19"/>
  <c r="F5" i="19"/>
  <c r="E4" i="19"/>
  <c r="M4" i="19" s="1"/>
  <c r="E10" i="19"/>
  <c r="M10" i="19" s="1"/>
  <c r="E9" i="19"/>
  <c r="M9" i="19" s="1"/>
  <c r="E8" i="19"/>
  <c r="M8" i="19" s="1"/>
  <c r="E7" i="19"/>
  <c r="M7" i="19" s="1"/>
  <c r="E6" i="19"/>
  <c r="M6" i="19" s="1"/>
  <c r="E5" i="19"/>
  <c r="M5" i="19" s="1"/>
  <c r="C30" i="19"/>
  <c r="C31" i="19"/>
  <c r="C32" i="19"/>
  <c r="C33" i="19"/>
  <c r="J33" i="19" s="1"/>
  <c r="C34" i="19"/>
  <c r="C35" i="19"/>
  <c r="C36" i="19"/>
  <c r="C37" i="19"/>
  <c r="C38" i="19"/>
  <c r="J38" i="19" s="1"/>
  <c r="C39" i="19"/>
  <c r="C40" i="19"/>
  <c r="C21" i="19"/>
  <c r="C22" i="19"/>
  <c r="C23" i="19"/>
  <c r="C24" i="19"/>
  <c r="C25" i="19"/>
  <c r="C26" i="19"/>
  <c r="C27" i="19"/>
  <c r="J27" i="19" s="1"/>
  <c r="C28" i="19"/>
  <c r="C29" i="19"/>
  <c r="C15" i="19"/>
  <c r="J15" i="19" s="1"/>
  <c r="J21" i="19"/>
  <c r="M11" i="19" l="1"/>
  <c r="K41" i="19"/>
  <c r="K22" i="19"/>
  <c r="K17" i="19"/>
  <c r="K28" i="19"/>
  <c r="K35" i="19"/>
  <c r="K29" i="19"/>
  <c r="K36" i="19"/>
  <c r="K23" i="19"/>
  <c r="K30" i="19"/>
  <c r="K39" i="19"/>
  <c r="K16" i="19"/>
  <c r="K18" i="19"/>
  <c r="K24" i="19"/>
  <c r="K34" i="19"/>
  <c r="K40" i="19"/>
  <c r="K19" i="19" l="1"/>
  <c r="K37" i="19"/>
  <c r="K31" i="19"/>
  <c r="K25" i="19"/>
  <c r="K42" i="19"/>
  <c r="K44" i="19" l="1"/>
  <c r="AC159" i="22" l="1"/>
  <c r="V174" i="22"/>
  <c r="AD29" i="23" s="1"/>
  <c r="H34" i="23" s="1"/>
  <c r="Q174" i="22"/>
  <c r="AB29" i="23" s="1"/>
  <c r="J34" i="23" s="1"/>
  <c r="V142" i="22"/>
  <c r="V30" i="23" s="1"/>
  <c r="L32" i="23" s="1"/>
  <c r="V144" i="22"/>
  <c r="Z28" i="23" s="1"/>
  <c r="D33" i="23" s="1"/>
  <c r="Q142" i="22"/>
  <c r="T30" i="23" s="1"/>
  <c r="Q144" i="22"/>
  <c r="X28" i="23" s="1"/>
  <c r="F33" i="23" s="1"/>
  <c r="V110" i="22"/>
  <c r="AD28" i="23" s="1"/>
  <c r="D34" i="23" s="1"/>
  <c r="Q110" i="22"/>
  <c r="AB28" i="23" s="1"/>
  <c r="F34" i="23" s="1"/>
  <c r="V78" i="22"/>
  <c r="V29" i="23" s="1"/>
  <c r="H32" i="23" s="1"/>
  <c r="V80" i="22"/>
  <c r="Z31" i="23" s="1"/>
  <c r="P33" i="23" s="1"/>
  <c r="V74" i="22"/>
  <c r="Z29" i="23" s="1"/>
  <c r="H33" i="23" s="1"/>
  <c r="Q78" i="22"/>
  <c r="T29" i="23" s="1"/>
  <c r="J32" i="23" s="1"/>
  <c r="Q80" i="22"/>
  <c r="X31" i="23" s="1"/>
  <c r="B29" i="23"/>
  <c r="B30" i="23"/>
  <c r="B31" i="23"/>
  <c r="O27" i="23" s="1"/>
  <c r="B32" i="23"/>
  <c r="S27" i="23" s="1"/>
  <c r="B33" i="23"/>
  <c r="B34" i="23"/>
  <c r="AA27" i="23" s="1"/>
  <c r="B35" i="23"/>
  <c r="AE27" i="23" s="1"/>
  <c r="B28" i="23"/>
  <c r="C27" i="23" s="1"/>
  <c r="AB35" i="23"/>
  <c r="AA35" i="23" s="1"/>
  <c r="AD35" i="23"/>
  <c r="X35" i="23"/>
  <c r="AE33" i="23"/>
  <c r="W27" i="23"/>
  <c r="T35" i="23"/>
  <c r="S35" i="23" s="1"/>
  <c r="P35" i="23"/>
  <c r="O35" i="23" s="1"/>
  <c r="L35" i="23"/>
  <c r="K35" i="23" s="1"/>
  <c r="K27" i="23"/>
  <c r="H35" i="23"/>
  <c r="D35" i="23"/>
  <c r="C35" i="23" s="1"/>
  <c r="G27" i="23"/>
  <c r="Q174" i="21"/>
  <c r="AB17" i="23" s="1"/>
  <c r="J22" i="23" s="1"/>
  <c r="V174" i="21"/>
  <c r="AD17" i="23" s="1"/>
  <c r="H22" i="23" s="1"/>
  <c r="V142" i="21"/>
  <c r="V18" i="23" s="1"/>
  <c r="L20" i="23" s="1"/>
  <c r="V144" i="21"/>
  <c r="Z16" i="23" s="1"/>
  <c r="Q142" i="21"/>
  <c r="T18" i="23" s="1"/>
  <c r="Q144" i="21"/>
  <c r="X16" i="23" s="1"/>
  <c r="F21" i="23" s="1"/>
  <c r="V110" i="21"/>
  <c r="AD16" i="23" s="1"/>
  <c r="Q110" i="21"/>
  <c r="AB16" i="23" s="1"/>
  <c r="V78" i="21"/>
  <c r="V17" i="23" s="1"/>
  <c r="H20" i="23" s="1"/>
  <c r="V80" i="21"/>
  <c r="Z19" i="23" s="1"/>
  <c r="P21" i="23" s="1"/>
  <c r="Q78" i="21"/>
  <c r="T17" i="23" s="1"/>
  <c r="J20" i="23" s="1"/>
  <c r="Q80" i="21"/>
  <c r="X19" i="23" s="1"/>
  <c r="R21" i="23" s="1"/>
  <c r="AK32" i="21"/>
  <c r="AC32" i="21"/>
  <c r="B32" i="21"/>
  <c r="AC1" i="21"/>
  <c r="AK1" i="21"/>
  <c r="B1" i="21"/>
  <c r="AC1" i="20"/>
  <c r="AK1" i="20"/>
  <c r="B17" i="23"/>
  <c r="G15" i="23" s="1"/>
  <c r="B18" i="23"/>
  <c r="K15" i="23" s="1"/>
  <c r="B19" i="23"/>
  <c r="O15" i="23" s="1"/>
  <c r="B20" i="23"/>
  <c r="S15" i="23" s="1"/>
  <c r="B21" i="23"/>
  <c r="W15" i="23" s="1"/>
  <c r="B22" i="23"/>
  <c r="AA15" i="23" s="1"/>
  <c r="B23" i="23"/>
  <c r="AE15" i="23" s="1"/>
  <c r="B16" i="23"/>
  <c r="C15" i="23" s="1"/>
  <c r="AB23" i="23"/>
  <c r="AA23" i="23" s="1"/>
  <c r="AD23" i="23"/>
  <c r="X23" i="23"/>
  <c r="W23" i="23" s="1"/>
  <c r="T23" i="23"/>
  <c r="S23" i="23" s="1"/>
  <c r="P23" i="23"/>
  <c r="O23" i="23" s="1"/>
  <c r="AE19" i="23"/>
  <c r="L23" i="23"/>
  <c r="K23" i="23" s="1"/>
  <c r="H23" i="23"/>
  <c r="D23" i="23"/>
  <c r="C23" i="23" s="1"/>
  <c r="AJ76" i="21"/>
  <c r="AK76" i="21"/>
  <c r="AL76" i="21"/>
  <c r="AM76" i="21"/>
  <c r="AN76" i="21"/>
  <c r="AO76" i="21"/>
  <c r="AP76" i="21"/>
  <c r="AI77" i="21"/>
  <c r="AJ77" i="21"/>
  <c r="AK77" i="21"/>
  <c r="AL77" i="21"/>
  <c r="AM77" i="21"/>
  <c r="AN77" i="21"/>
  <c r="AO77" i="21"/>
  <c r="AP77" i="21"/>
  <c r="AJ78" i="21"/>
  <c r="AK78" i="21"/>
  <c r="AL78" i="21"/>
  <c r="AM78" i="21"/>
  <c r="AN78" i="21"/>
  <c r="AO78" i="21"/>
  <c r="AP78" i="21"/>
  <c r="AI79" i="21"/>
  <c r="AJ79" i="21"/>
  <c r="AK79" i="21"/>
  <c r="AL79" i="21"/>
  <c r="AM79" i="21"/>
  <c r="AN79" i="21"/>
  <c r="AO79" i="21"/>
  <c r="AP79" i="21"/>
  <c r="AJ80" i="21"/>
  <c r="AK80" i="21"/>
  <c r="AL80" i="21"/>
  <c r="AM80" i="21"/>
  <c r="AN80" i="21"/>
  <c r="AO80" i="21"/>
  <c r="AP80" i="21"/>
  <c r="AI81" i="21"/>
  <c r="AJ81" i="21"/>
  <c r="AK81" i="21"/>
  <c r="AL81" i="21"/>
  <c r="AM81" i="21"/>
  <c r="AN81" i="21"/>
  <c r="AO81" i="21"/>
  <c r="AP81" i="21"/>
  <c r="H4" i="23"/>
  <c r="Q12" i="20"/>
  <c r="B1" i="20"/>
  <c r="G3" i="20"/>
  <c r="AG3" i="20"/>
  <c r="AM3" i="20" s="1"/>
  <c r="C4" i="20"/>
  <c r="E5" i="20"/>
  <c r="S5" i="20"/>
  <c r="T3" i="20" s="1"/>
  <c r="AG5" i="20"/>
  <c r="E6" i="20"/>
  <c r="S6" i="20"/>
  <c r="AG6" i="20"/>
  <c r="E7" i="20"/>
  <c r="S7" i="20"/>
  <c r="S18" i="23" l="1"/>
  <c r="G32" i="23"/>
  <c r="S30" i="23"/>
  <c r="N32" i="23"/>
  <c r="C33" i="23"/>
  <c r="S29" i="23"/>
  <c r="C34" i="23"/>
  <c r="G20" i="23"/>
  <c r="N20" i="23"/>
  <c r="O21" i="23"/>
  <c r="AA28" i="23"/>
  <c r="F35" i="23"/>
  <c r="AE28" i="23"/>
  <c r="G34" i="23"/>
  <c r="N35" i="23"/>
  <c r="AE30" i="23"/>
  <c r="AE29" i="23"/>
  <c r="J35" i="23"/>
  <c r="W31" i="23"/>
  <c r="R33" i="23"/>
  <c r="O33" i="23" s="1"/>
  <c r="V35" i="23"/>
  <c r="AE32" i="23"/>
  <c r="W28" i="23"/>
  <c r="AA29" i="23"/>
  <c r="G35" i="23"/>
  <c r="R35" i="23"/>
  <c r="AE31" i="23"/>
  <c r="Z35" i="23"/>
  <c r="W35" i="23" s="1"/>
  <c r="AE34" i="23"/>
  <c r="W16" i="23"/>
  <c r="K20" i="23"/>
  <c r="W19" i="23"/>
  <c r="S17" i="23"/>
  <c r="G23" i="23"/>
  <c r="AE21" i="23"/>
  <c r="Z23" i="23"/>
  <c r="AE18" i="23"/>
  <c r="N23" i="23"/>
  <c r="F23" i="23"/>
  <c r="AE16" i="23"/>
  <c r="AE17" i="23"/>
  <c r="J23" i="23"/>
  <c r="G22" i="23"/>
  <c r="AE22" i="23"/>
  <c r="R23" i="23"/>
  <c r="AA17" i="23"/>
  <c r="V23" i="23"/>
  <c r="AE20" i="23"/>
  <c r="V12" i="20"/>
  <c r="J4" i="23" s="1"/>
  <c r="B14" i="20"/>
  <c r="AI12" i="20"/>
  <c r="K32" i="23" l="1"/>
  <c r="Q14" i="20"/>
  <c r="P6" i="23" s="1"/>
  <c r="N7" i="23" s="1"/>
  <c r="V14" i="20"/>
  <c r="R6" i="23" s="1"/>
  <c r="L7" i="23" s="1"/>
  <c r="K7" i="23" s="1"/>
  <c r="AM14" i="20"/>
  <c r="AJ14" i="20"/>
  <c r="B16" i="20"/>
  <c r="AN14" i="20"/>
  <c r="AL14" i="20"/>
  <c r="AP14" i="20"/>
  <c r="AO14" i="20"/>
  <c r="AK14" i="20"/>
  <c r="AI14" i="20"/>
  <c r="Q16" i="20" l="1"/>
  <c r="P4" i="23" s="1"/>
  <c r="V16" i="20"/>
  <c r="R4" i="23" s="1"/>
  <c r="AI16" i="20"/>
  <c r="AJ16" i="20"/>
  <c r="AK16" i="20"/>
  <c r="AM16" i="20"/>
  <c r="AP16" i="20"/>
  <c r="AN16" i="20"/>
  <c r="AO16" i="20"/>
  <c r="AL16" i="20"/>
  <c r="B18" i="20"/>
  <c r="Q18" i="20" l="1"/>
  <c r="N5" i="23" s="1"/>
  <c r="V18" i="20"/>
  <c r="L5" i="23" s="1"/>
  <c r="K5" i="23" s="1"/>
  <c r="AJ18" i="20"/>
  <c r="AN18" i="20"/>
  <c r="AP18" i="20"/>
  <c r="AK18" i="20"/>
  <c r="AO18" i="20"/>
  <c r="AM18" i="20"/>
  <c r="B20" i="20"/>
  <c r="AL18" i="20"/>
  <c r="AI18" i="20"/>
  <c r="G34" i="20" l="1"/>
  <c r="AG34" i="20"/>
  <c r="AM34" i="20" s="1"/>
  <c r="C35" i="20"/>
  <c r="E36" i="20"/>
  <c r="S36" i="20"/>
  <c r="AG36" i="20"/>
  <c r="T34" i="20" s="1"/>
  <c r="E37" i="20"/>
  <c r="S37" i="20"/>
  <c r="AG37" i="20"/>
  <c r="E38" i="20"/>
  <c r="S38" i="20"/>
  <c r="Q43" i="20" l="1"/>
  <c r="X8" i="23" s="1"/>
  <c r="V43" i="20"/>
  <c r="Z8" i="23" s="1"/>
  <c r="B5" i="23"/>
  <c r="B6" i="23"/>
  <c r="B7" i="23"/>
  <c r="O3" i="23" s="1"/>
  <c r="B8" i="23"/>
  <c r="S3" i="23" s="1"/>
  <c r="B9" i="23"/>
  <c r="W3" i="23" s="1"/>
  <c r="B10" i="23"/>
  <c r="AA3" i="23" s="1"/>
  <c r="B11" i="23"/>
  <c r="B4" i="23"/>
  <c r="C3" i="23" s="1"/>
  <c r="T9" i="23"/>
  <c r="V9" i="23"/>
  <c r="O6" i="23"/>
  <c r="J6" i="23"/>
  <c r="H6" i="23"/>
  <c r="G3" i="23"/>
  <c r="D7" i="23"/>
  <c r="O4" i="23"/>
  <c r="D5" i="23"/>
  <c r="G4" i="23"/>
  <c r="AE3" i="23"/>
  <c r="K3" i="23"/>
  <c r="AP43" i="20"/>
  <c r="AM43" i="20"/>
  <c r="AL43" i="20"/>
  <c r="AN43" i="20"/>
  <c r="AO43" i="20"/>
  <c r="AK43" i="20"/>
  <c r="AJ43" i="20"/>
  <c r="AI43" i="20"/>
  <c r="G6" i="23" l="1"/>
  <c r="S9" i="23"/>
  <c r="W8" i="23"/>
  <c r="F5" i="23"/>
  <c r="C5" i="23" s="1"/>
  <c r="F7" i="23"/>
  <c r="C7" i="23" s="1"/>
  <c r="AQ25" i="23" l="1"/>
  <c r="AJ74" i="21" l="1"/>
  <c r="AK74" i="21"/>
  <c r="AL74" i="21"/>
  <c r="AM74" i="21"/>
  <c r="AN74" i="21"/>
  <c r="AO74" i="21"/>
  <c r="AP74" i="21"/>
  <c r="AI75" i="21"/>
  <c r="AJ75" i="21"/>
  <c r="AK75" i="21"/>
  <c r="AL75" i="21"/>
  <c r="AM75" i="21"/>
  <c r="AN75" i="21"/>
  <c r="AO75" i="21"/>
  <c r="AP75" i="21"/>
  <c r="AG158" i="20" l="1"/>
  <c r="AM158" i="20" s="1"/>
  <c r="AJ172" i="22"/>
  <c r="AK172" i="22"/>
  <c r="AL172" i="22"/>
  <c r="AM172" i="22"/>
  <c r="AN172" i="22"/>
  <c r="AO172" i="22"/>
  <c r="AP172" i="22"/>
  <c r="AI173" i="22"/>
  <c r="AJ173" i="22"/>
  <c r="AK173" i="22"/>
  <c r="AL173" i="22"/>
  <c r="AM173" i="22"/>
  <c r="AN173" i="22"/>
  <c r="AO173" i="22"/>
  <c r="AP173" i="22"/>
  <c r="AJ174" i="22"/>
  <c r="AK174" i="22"/>
  <c r="AL174" i="22"/>
  <c r="AM174" i="22"/>
  <c r="AN174" i="22"/>
  <c r="AO174" i="22"/>
  <c r="AP174" i="22"/>
  <c r="AI175" i="22"/>
  <c r="AJ175" i="22"/>
  <c r="AK175" i="22"/>
  <c r="AL175" i="22"/>
  <c r="AM175" i="22"/>
  <c r="AN175" i="22"/>
  <c r="AO175" i="22"/>
  <c r="AP175" i="22"/>
  <c r="E164" i="22"/>
  <c r="E165" i="22"/>
  <c r="S164" i="22"/>
  <c r="S165" i="22"/>
  <c r="AG163" i="22"/>
  <c r="S163" i="22"/>
  <c r="T161" i="22" s="1"/>
  <c r="O52" i="16" s="1"/>
  <c r="E163" i="22"/>
  <c r="AC127" i="22"/>
  <c r="AC95" i="22"/>
  <c r="AG131" i="22"/>
  <c r="S132" i="22"/>
  <c r="S133" i="22"/>
  <c r="S131" i="22"/>
  <c r="E132" i="22"/>
  <c r="E133" i="22"/>
  <c r="E131" i="22"/>
  <c r="AJ140" i="22"/>
  <c r="AK140" i="22"/>
  <c r="AL140" i="22"/>
  <c r="AM140" i="22"/>
  <c r="AN140" i="22"/>
  <c r="AO140" i="22"/>
  <c r="AP140" i="22"/>
  <c r="AI141" i="22"/>
  <c r="AJ141" i="22"/>
  <c r="AK141" i="22"/>
  <c r="AL141" i="22"/>
  <c r="AM141" i="22"/>
  <c r="AN141" i="22"/>
  <c r="AO141" i="22"/>
  <c r="AP141" i="22"/>
  <c r="AJ142" i="22"/>
  <c r="AK142" i="22"/>
  <c r="AL142" i="22"/>
  <c r="AM142" i="22"/>
  <c r="AN142" i="22"/>
  <c r="AO142" i="22"/>
  <c r="AP142" i="22"/>
  <c r="AI143" i="22"/>
  <c r="AJ143" i="22"/>
  <c r="AK143" i="22"/>
  <c r="AL143" i="22"/>
  <c r="AM143" i="22"/>
  <c r="AN143" i="22"/>
  <c r="AO143" i="22"/>
  <c r="AP143" i="22"/>
  <c r="AJ144" i="22"/>
  <c r="AK144" i="22"/>
  <c r="AL144" i="22"/>
  <c r="AM144" i="22"/>
  <c r="AN144" i="22"/>
  <c r="AO144" i="22"/>
  <c r="AP144" i="22"/>
  <c r="AI145" i="22"/>
  <c r="AJ145" i="22"/>
  <c r="AK145" i="22"/>
  <c r="AL145" i="22"/>
  <c r="AM145" i="22"/>
  <c r="AN145" i="22"/>
  <c r="AO145" i="22"/>
  <c r="AP145" i="22"/>
  <c r="AJ108" i="22"/>
  <c r="AK108" i="22"/>
  <c r="AL108" i="22"/>
  <c r="AM108" i="22"/>
  <c r="AN108" i="22"/>
  <c r="AO108" i="22"/>
  <c r="AP108" i="22"/>
  <c r="AI109" i="22"/>
  <c r="AJ109" i="22"/>
  <c r="AK109" i="22"/>
  <c r="AL109" i="22"/>
  <c r="AM109" i="22"/>
  <c r="AN109" i="22"/>
  <c r="AO109" i="22"/>
  <c r="AP109" i="22"/>
  <c r="AJ110" i="22"/>
  <c r="AK110" i="22"/>
  <c r="AL110" i="22"/>
  <c r="AM110" i="22"/>
  <c r="AN110" i="22"/>
  <c r="AO110" i="22"/>
  <c r="AP110" i="22"/>
  <c r="AI111" i="22"/>
  <c r="AJ111" i="22"/>
  <c r="AK111" i="22"/>
  <c r="AL111" i="22"/>
  <c r="AM111" i="22"/>
  <c r="AN111" i="22"/>
  <c r="AO111" i="22"/>
  <c r="AP111" i="22"/>
  <c r="AJ78" i="22"/>
  <c r="AK78" i="22"/>
  <c r="AL78" i="22"/>
  <c r="AM78" i="22"/>
  <c r="AN78" i="22"/>
  <c r="AO78" i="22"/>
  <c r="AP78" i="22"/>
  <c r="AI79" i="22"/>
  <c r="AJ79" i="22"/>
  <c r="AK79" i="22"/>
  <c r="AL79" i="22"/>
  <c r="AM79" i="22"/>
  <c r="AN79" i="22"/>
  <c r="AO79" i="22"/>
  <c r="AP79" i="22"/>
  <c r="AJ80" i="22"/>
  <c r="AK80" i="22"/>
  <c r="AL80" i="22"/>
  <c r="AM80" i="22"/>
  <c r="AN80" i="22"/>
  <c r="AO80" i="22"/>
  <c r="AP80" i="22"/>
  <c r="AI81" i="22"/>
  <c r="AJ81" i="22"/>
  <c r="AK81" i="22"/>
  <c r="AL81" i="22"/>
  <c r="AM81" i="22"/>
  <c r="AN81" i="22"/>
  <c r="AO81" i="22"/>
  <c r="AP81" i="22"/>
  <c r="AP77" i="22"/>
  <c r="AO77" i="22"/>
  <c r="AN77" i="22"/>
  <c r="AM77" i="22"/>
  <c r="AL77" i="22"/>
  <c r="AK77" i="22"/>
  <c r="AJ77" i="22"/>
  <c r="AI77" i="22"/>
  <c r="AP76" i="22"/>
  <c r="AO76" i="22"/>
  <c r="AN76" i="22"/>
  <c r="AM76" i="22"/>
  <c r="AL76" i="22"/>
  <c r="AK76" i="22"/>
  <c r="AJ76" i="22"/>
  <c r="AG99" i="22"/>
  <c r="T97" i="22" s="1"/>
  <c r="O34" i="16" s="1"/>
  <c r="S100" i="22"/>
  <c r="S101" i="22"/>
  <c r="S99" i="22"/>
  <c r="E100" i="22"/>
  <c r="E101" i="22"/>
  <c r="E99" i="22"/>
  <c r="C98" i="22"/>
  <c r="AG67" i="22"/>
  <c r="S68" i="22"/>
  <c r="S69" i="22"/>
  <c r="S67" i="22"/>
  <c r="T65" i="22" s="1"/>
  <c r="O26" i="16" s="1"/>
  <c r="E68" i="22"/>
  <c r="E69" i="22"/>
  <c r="E67" i="22"/>
  <c r="C66" i="22"/>
  <c r="AC63" i="22"/>
  <c r="V172" i="22"/>
  <c r="R29" i="23" s="1"/>
  <c r="H31" i="23" s="1"/>
  <c r="Q172" i="22"/>
  <c r="P29" i="23" s="1"/>
  <c r="AP171" i="22"/>
  <c r="AO171" i="22"/>
  <c r="AN171" i="22"/>
  <c r="AM171" i="22"/>
  <c r="AL171" i="22"/>
  <c r="AK171" i="22"/>
  <c r="AJ171" i="22"/>
  <c r="AI171" i="22"/>
  <c r="AP170" i="22"/>
  <c r="AO170" i="22"/>
  <c r="AN170" i="22"/>
  <c r="AM170" i="22"/>
  <c r="AL170" i="22"/>
  <c r="AK170" i="22"/>
  <c r="AJ170" i="22"/>
  <c r="V170" i="22"/>
  <c r="AD31" i="23" s="1"/>
  <c r="P34" i="23" s="1"/>
  <c r="Q170" i="22"/>
  <c r="AB31" i="23" s="1"/>
  <c r="AR163" i="22"/>
  <c r="AR165" i="22" s="1"/>
  <c r="C162" i="22"/>
  <c r="AG161" i="22"/>
  <c r="AM161" i="22"/>
  <c r="AK159" i="22"/>
  <c r="B159" i="22"/>
  <c r="V140" i="22"/>
  <c r="Z30" i="23" s="1"/>
  <c r="Q140" i="22"/>
  <c r="X30" i="23" s="1"/>
  <c r="N33" i="23" s="1"/>
  <c r="AP139" i="22"/>
  <c r="AO139" i="22"/>
  <c r="AN139" i="22"/>
  <c r="AM139" i="22"/>
  <c r="AL139" i="22"/>
  <c r="AK139" i="22"/>
  <c r="AJ139" i="22"/>
  <c r="AI139" i="22"/>
  <c r="AP138" i="22"/>
  <c r="AO138" i="22"/>
  <c r="AN138" i="22"/>
  <c r="AM138" i="22"/>
  <c r="AL138" i="22"/>
  <c r="AK138" i="22"/>
  <c r="AJ138" i="22"/>
  <c r="V138" i="22"/>
  <c r="V28" i="23" s="1"/>
  <c r="Q138" i="22"/>
  <c r="T28" i="23" s="1"/>
  <c r="F32" i="23" s="1"/>
  <c r="AR131" i="22"/>
  <c r="AR133" i="22" s="1"/>
  <c r="C130" i="22"/>
  <c r="AG129" i="22"/>
  <c r="AM129" i="22"/>
  <c r="AK127" i="22"/>
  <c r="B127" i="22"/>
  <c r="V108" i="22"/>
  <c r="AD30" i="23" s="1"/>
  <c r="Q108" i="22"/>
  <c r="AB30" i="23" s="1"/>
  <c r="AP107" i="22"/>
  <c r="AO107" i="22"/>
  <c r="AN107" i="22"/>
  <c r="AM107" i="22"/>
  <c r="AL107" i="22"/>
  <c r="AK107" i="22"/>
  <c r="AJ107" i="22"/>
  <c r="AI107" i="22"/>
  <c r="AP106" i="22"/>
  <c r="AO106" i="22"/>
  <c r="AN106" i="22"/>
  <c r="AM106" i="22"/>
  <c r="AL106" i="22"/>
  <c r="AK106" i="22"/>
  <c r="AJ106" i="22"/>
  <c r="V106" i="22"/>
  <c r="N28" i="23" s="1"/>
  <c r="Q106" i="22"/>
  <c r="L28" i="23" s="1"/>
  <c r="AR99" i="22"/>
  <c r="AR101" i="22" s="1"/>
  <c r="AG97" i="22"/>
  <c r="AM97" i="22" s="1"/>
  <c r="AK95" i="22"/>
  <c r="B95" i="22"/>
  <c r="AR67" i="22"/>
  <c r="AR69" i="22" s="1"/>
  <c r="V76" i="22"/>
  <c r="V31" i="23" s="1"/>
  <c r="P32" i="23" s="1"/>
  <c r="Q76" i="22"/>
  <c r="T31" i="23" s="1"/>
  <c r="AP75" i="22"/>
  <c r="AO75" i="22"/>
  <c r="AN75" i="22"/>
  <c r="AM75" i="22"/>
  <c r="AL75" i="22"/>
  <c r="AK75" i="22"/>
  <c r="AJ75" i="22"/>
  <c r="AI75" i="22"/>
  <c r="AP74" i="22"/>
  <c r="AO74" i="22"/>
  <c r="AN74" i="22"/>
  <c r="AM74" i="22"/>
  <c r="AL74" i="22"/>
  <c r="AK74" i="22"/>
  <c r="AJ74" i="22"/>
  <c r="Q74" i="22"/>
  <c r="X29" i="23" s="1"/>
  <c r="AG65" i="22"/>
  <c r="AM65" i="22" s="1"/>
  <c r="AK63" i="22"/>
  <c r="B63" i="22"/>
  <c r="AJ172" i="21"/>
  <c r="AK172" i="21"/>
  <c r="AL172" i="21"/>
  <c r="AM172" i="21"/>
  <c r="AN172" i="21"/>
  <c r="AO172" i="21"/>
  <c r="AP172" i="21"/>
  <c r="AI173" i="21"/>
  <c r="AJ173" i="21"/>
  <c r="AK173" i="21"/>
  <c r="AL173" i="21"/>
  <c r="AM173" i="21"/>
  <c r="AN173" i="21"/>
  <c r="AO173" i="21"/>
  <c r="AP173" i="21"/>
  <c r="AJ174" i="21"/>
  <c r="AK174" i="21"/>
  <c r="AL174" i="21"/>
  <c r="AM174" i="21"/>
  <c r="AN174" i="21"/>
  <c r="AO174" i="21"/>
  <c r="AP174" i="21"/>
  <c r="AI175" i="21"/>
  <c r="AJ175" i="21"/>
  <c r="AK175" i="21"/>
  <c r="AL175" i="21"/>
  <c r="AM175" i="21"/>
  <c r="AN175" i="21"/>
  <c r="AO175" i="21"/>
  <c r="AP175" i="21"/>
  <c r="AR163" i="21"/>
  <c r="AR165" i="21" s="1"/>
  <c r="C162" i="21"/>
  <c r="V172" i="21"/>
  <c r="R17" i="23" s="1"/>
  <c r="H19" i="23" s="1"/>
  <c r="Q172" i="21"/>
  <c r="P17" i="23" s="1"/>
  <c r="AP171" i="21"/>
  <c r="AO171" i="21"/>
  <c r="AN171" i="21"/>
  <c r="AM171" i="21"/>
  <c r="AL171" i="21"/>
  <c r="AK171" i="21"/>
  <c r="AJ171" i="21"/>
  <c r="AI171" i="21"/>
  <c r="AP170" i="21"/>
  <c r="AO170" i="21"/>
  <c r="AN170" i="21"/>
  <c r="AM170" i="21"/>
  <c r="AL170" i="21"/>
  <c r="AK170" i="21"/>
  <c r="AJ170" i="21"/>
  <c r="V170" i="21"/>
  <c r="AD19" i="23" s="1"/>
  <c r="P22" i="23" s="1"/>
  <c r="Q170" i="21"/>
  <c r="AB19" i="23" s="1"/>
  <c r="S165" i="21"/>
  <c r="E165" i="21"/>
  <c r="S164" i="21"/>
  <c r="E164" i="21"/>
  <c r="AG163" i="21"/>
  <c r="S163" i="21"/>
  <c r="E163" i="21"/>
  <c r="AG161" i="21"/>
  <c r="AM161" i="21" s="1"/>
  <c r="AK159" i="21"/>
  <c r="AC159" i="21"/>
  <c r="B159" i="21"/>
  <c r="AJ140" i="21"/>
  <c r="AK140" i="21"/>
  <c r="AL140" i="21"/>
  <c r="AM140" i="21"/>
  <c r="AN140" i="21"/>
  <c r="AO140" i="21"/>
  <c r="AP140" i="21"/>
  <c r="AI141" i="21"/>
  <c r="AJ141" i="21"/>
  <c r="AK141" i="21"/>
  <c r="AL141" i="21"/>
  <c r="AM141" i="21"/>
  <c r="AN141" i="21"/>
  <c r="AO141" i="21"/>
  <c r="AP141" i="21"/>
  <c r="AJ142" i="21"/>
  <c r="AK142" i="21"/>
  <c r="AL142" i="21"/>
  <c r="AM142" i="21"/>
  <c r="AN142" i="21"/>
  <c r="AO142" i="21"/>
  <c r="AP142" i="21"/>
  <c r="AI143" i="21"/>
  <c r="AJ143" i="21"/>
  <c r="AK143" i="21"/>
  <c r="AL143" i="21"/>
  <c r="AM143" i="21"/>
  <c r="AN143" i="21"/>
  <c r="AO143" i="21"/>
  <c r="AP143" i="21"/>
  <c r="AJ144" i="21"/>
  <c r="AK144" i="21"/>
  <c r="AL144" i="21"/>
  <c r="AM144" i="21"/>
  <c r="AN144" i="21"/>
  <c r="AO144" i="21"/>
  <c r="AP144" i="21"/>
  <c r="AI145" i="21"/>
  <c r="AJ145" i="21"/>
  <c r="AK145" i="21"/>
  <c r="AL145" i="21"/>
  <c r="AM145" i="21"/>
  <c r="AN145" i="21"/>
  <c r="AO145" i="21"/>
  <c r="AP145" i="21"/>
  <c r="AR131" i="21"/>
  <c r="AR133" i="21" s="1"/>
  <c r="C130" i="21"/>
  <c r="AG129" i="21"/>
  <c r="AM129" i="21" s="1"/>
  <c r="AK127" i="21"/>
  <c r="V140" i="21"/>
  <c r="Z18" i="23" s="1"/>
  <c r="Q140" i="21"/>
  <c r="X18" i="23" s="1"/>
  <c r="AP139" i="21"/>
  <c r="AO139" i="21"/>
  <c r="AN139" i="21"/>
  <c r="AM139" i="21"/>
  <c r="AL139" i="21"/>
  <c r="AK139" i="21"/>
  <c r="AJ139" i="21"/>
  <c r="AI139" i="21"/>
  <c r="AP138" i="21"/>
  <c r="AO138" i="21"/>
  <c r="AN138" i="21"/>
  <c r="AM138" i="21"/>
  <c r="AL138" i="21"/>
  <c r="AK138" i="21"/>
  <c r="AJ138" i="21"/>
  <c r="V138" i="21"/>
  <c r="V16" i="23" s="1"/>
  <c r="D20" i="23" s="1"/>
  <c r="Q138" i="21"/>
  <c r="T16" i="23" s="1"/>
  <c r="S133" i="21"/>
  <c r="E133" i="21"/>
  <c r="S132" i="21"/>
  <c r="T129" i="21" s="1"/>
  <c r="I44" i="16" s="1"/>
  <c r="E132" i="21"/>
  <c r="AG131" i="21"/>
  <c r="S131" i="21"/>
  <c r="E131" i="21"/>
  <c r="AC127" i="21"/>
  <c r="B127" i="21"/>
  <c r="AJ108" i="21"/>
  <c r="AK108" i="21"/>
  <c r="AL108" i="21"/>
  <c r="AM108" i="21"/>
  <c r="AN108" i="21"/>
  <c r="AO108" i="21"/>
  <c r="AP108" i="21"/>
  <c r="AI109" i="21"/>
  <c r="AJ109" i="21"/>
  <c r="AK109" i="21"/>
  <c r="AL109" i="21"/>
  <c r="AM109" i="21"/>
  <c r="AN109" i="21"/>
  <c r="AO109" i="21"/>
  <c r="AP109" i="21"/>
  <c r="AJ110" i="21"/>
  <c r="AK110" i="21"/>
  <c r="AL110" i="21"/>
  <c r="AM110" i="21"/>
  <c r="AN110" i="21"/>
  <c r="AO110" i="21"/>
  <c r="AP110" i="21"/>
  <c r="AI111" i="21"/>
  <c r="AJ111" i="21"/>
  <c r="AK111" i="21"/>
  <c r="AL111" i="21"/>
  <c r="AM111" i="21"/>
  <c r="AN111" i="21"/>
  <c r="AO111" i="21"/>
  <c r="AP111" i="21"/>
  <c r="AR99" i="21"/>
  <c r="AR101" i="21" s="1"/>
  <c r="C98" i="21"/>
  <c r="V108" i="21"/>
  <c r="AD18" i="23" s="1"/>
  <c r="Q108" i="21"/>
  <c r="AB18" i="23" s="1"/>
  <c r="AP107" i="21"/>
  <c r="AO107" i="21"/>
  <c r="AN107" i="21"/>
  <c r="AM107" i="21"/>
  <c r="AL107" i="21"/>
  <c r="AK107" i="21"/>
  <c r="AJ107" i="21"/>
  <c r="AI107" i="21"/>
  <c r="AP106" i="21"/>
  <c r="AO106" i="21"/>
  <c r="AN106" i="21"/>
  <c r="AM106" i="21"/>
  <c r="AL106" i="21"/>
  <c r="AK106" i="21"/>
  <c r="AJ106" i="21"/>
  <c r="V106" i="21"/>
  <c r="N16" i="23" s="1"/>
  <c r="D18" i="23" s="1"/>
  <c r="Q106" i="21"/>
  <c r="L16" i="23" s="1"/>
  <c r="S101" i="21"/>
  <c r="E101" i="21"/>
  <c r="S100" i="21"/>
  <c r="E100" i="21"/>
  <c r="AG99" i="21"/>
  <c r="T97" i="21" s="1"/>
  <c r="I34" i="16" s="1"/>
  <c r="S99" i="21"/>
  <c r="E99" i="21"/>
  <c r="AG97" i="21"/>
  <c r="AM97" i="21" s="1"/>
  <c r="AK95" i="21"/>
  <c r="AC95" i="21"/>
  <c r="B95" i="21"/>
  <c r="AG67" i="21"/>
  <c r="S68" i="21"/>
  <c r="T65" i="21" s="1"/>
  <c r="I26" i="16" s="1"/>
  <c r="S69" i="21"/>
  <c r="S67" i="21"/>
  <c r="E68" i="21"/>
  <c r="E69" i="21"/>
  <c r="E67" i="21"/>
  <c r="AR67" i="21"/>
  <c r="AR69" i="21" s="1"/>
  <c r="C66" i="21"/>
  <c r="AG65" i="21"/>
  <c r="AM65" i="21" s="1"/>
  <c r="AK63" i="21"/>
  <c r="AC63" i="21"/>
  <c r="V76" i="21"/>
  <c r="V19" i="23" s="1"/>
  <c r="P20" i="23" s="1"/>
  <c r="Q76" i="21"/>
  <c r="T19" i="23" s="1"/>
  <c r="V74" i="21"/>
  <c r="Z17" i="23" s="1"/>
  <c r="H21" i="23" s="1"/>
  <c r="Q74" i="21"/>
  <c r="X17" i="23" s="1"/>
  <c r="B63" i="21"/>
  <c r="AJ231" i="20"/>
  <c r="AK231" i="20"/>
  <c r="AL231" i="20"/>
  <c r="AM231" i="20"/>
  <c r="AN231" i="20"/>
  <c r="AO231" i="20"/>
  <c r="AP231" i="20"/>
  <c r="AI232" i="20"/>
  <c r="AJ232" i="20"/>
  <c r="AK232" i="20"/>
  <c r="AL232" i="20"/>
  <c r="AM232" i="20"/>
  <c r="AN232" i="20"/>
  <c r="AO232" i="20"/>
  <c r="AP232" i="20"/>
  <c r="AR222" i="20"/>
  <c r="AR224" i="20" s="1"/>
  <c r="AG220" i="20"/>
  <c r="AM220" i="20" s="1"/>
  <c r="C221" i="20"/>
  <c r="V231" i="20"/>
  <c r="AH7" i="23" s="1"/>
  <c r="P11" i="23" s="1"/>
  <c r="Q231" i="20"/>
  <c r="AF7" i="23" s="1"/>
  <c r="AP230" i="20"/>
  <c r="AO230" i="20"/>
  <c r="AN230" i="20"/>
  <c r="AM230" i="20"/>
  <c r="AL230" i="20"/>
  <c r="AK230" i="20"/>
  <c r="AJ230" i="20"/>
  <c r="AI230" i="20"/>
  <c r="AP229" i="20"/>
  <c r="AO229" i="20"/>
  <c r="AN229" i="20"/>
  <c r="AM229" i="20"/>
  <c r="AL229" i="20"/>
  <c r="AK229" i="20"/>
  <c r="AJ229" i="20"/>
  <c r="V229" i="20"/>
  <c r="AD6" i="23" s="1"/>
  <c r="L10" i="23" s="1"/>
  <c r="Q229" i="20"/>
  <c r="AB6" i="23" s="1"/>
  <c r="S224" i="20"/>
  <c r="E224" i="20"/>
  <c r="AG223" i="20"/>
  <c r="S223" i="20"/>
  <c r="E223" i="20"/>
  <c r="AG222" i="20"/>
  <c r="S222" i="20"/>
  <c r="T220" i="20" s="1"/>
  <c r="C70" i="16" s="1"/>
  <c r="E222" i="20"/>
  <c r="AK218" i="20"/>
  <c r="AC218" i="20"/>
  <c r="B218" i="20"/>
  <c r="V200" i="20"/>
  <c r="V5" i="23" s="1"/>
  <c r="H8" i="23" s="1"/>
  <c r="Q200" i="20"/>
  <c r="T5" i="23" s="1"/>
  <c r="AP199" i="20"/>
  <c r="AO199" i="20"/>
  <c r="AN199" i="20"/>
  <c r="AM199" i="20"/>
  <c r="AL199" i="20"/>
  <c r="AK199" i="20"/>
  <c r="AJ199" i="20"/>
  <c r="AI199" i="20"/>
  <c r="AP198" i="20"/>
  <c r="AO198" i="20"/>
  <c r="AN198" i="20"/>
  <c r="AM198" i="20"/>
  <c r="AL198" i="20"/>
  <c r="AK198" i="20"/>
  <c r="AJ198" i="20"/>
  <c r="V198" i="20"/>
  <c r="Z4" i="23" s="1"/>
  <c r="D9" i="23" s="1"/>
  <c r="Q198" i="20"/>
  <c r="X4" i="23" s="1"/>
  <c r="AR191" i="20"/>
  <c r="AR193" i="20" s="1"/>
  <c r="C190" i="20"/>
  <c r="AG189" i="20"/>
  <c r="AK187" i="20"/>
  <c r="AC187" i="20"/>
  <c r="B187" i="20"/>
  <c r="AR160" i="20"/>
  <c r="AR162" i="20" s="1"/>
  <c r="AP168" i="20"/>
  <c r="AO168" i="20"/>
  <c r="AN168" i="20"/>
  <c r="AM168" i="20"/>
  <c r="AL168" i="20"/>
  <c r="AK168" i="20"/>
  <c r="AJ168" i="20"/>
  <c r="AI168" i="20"/>
  <c r="AP167" i="20"/>
  <c r="AO167" i="20"/>
  <c r="AN167" i="20"/>
  <c r="AM167" i="20"/>
  <c r="AL167" i="20"/>
  <c r="AK167" i="20"/>
  <c r="AJ167" i="20"/>
  <c r="AR129" i="20"/>
  <c r="AR131" i="20" s="1"/>
  <c r="C159" i="20"/>
  <c r="AK156" i="20"/>
  <c r="AC156" i="20"/>
  <c r="B156" i="20"/>
  <c r="AJ142" i="20"/>
  <c r="AK142" i="20"/>
  <c r="AL142" i="20"/>
  <c r="AM142" i="20"/>
  <c r="AN142" i="20"/>
  <c r="AO142" i="20"/>
  <c r="AP142" i="20"/>
  <c r="AI143" i="20"/>
  <c r="AJ143" i="20"/>
  <c r="AK143" i="20"/>
  <c r="AL143" i="20"/>
  <c r="AM143" i="20"/>
  <c r="AN143" i="20"/>
  <c r="AO143" i="20"/>
  <c r="AP143" i="20"/>
  <c r="AJ140" i="20"/>
  <c r="AK140" i="20"/>
  <c r="AL140" i="20"/>
  <c r="AM140" i="20"/>
  <c r="AN140" i="20"/>
  <c r="AO140" i="20"/>
  <c r="AP140" i="20"/>
  <c r="AI141" i="20"/>
  <c r="AJ141" i="20"/>
  <c r="AK141" i="20"/>
  <c r="AL141" i="20"/>
  <c r="AM141" i="20"/>
  <c r="AN141" i="20"/>
  <c r="AO141" i="20"/>
  <c r="AP141" i="20"/>
  <c r="AJ138" i="20"/>
  <c r="AK138" i="20"/>
  <c r="AL138" i="20"/>
  <c r="AM138" i="20"/>
  <c r="AN138" i="20"/>
  <c r="AO138" i="20"/>
  <c r="AP138" i="20"/>
  <c r="AI139" i="20"/>
  <c r="AJ139" i="20"/>
  <c r="AK139" i="20"/>
  <c r="AL139" i="20"/>
  <c r="AM139" i="20"/>
  <c r="AN139" i="20"/>
  <c r="AO139" i="20"/>
  <c r="AP139" i="20"/>
  <c r="AP137" i="20"/>
  <c r="AO137" i="20"/>
  <c r="AN137" i="20"/>
  <c r="AM137" i="20"/>
  <c r="AL137" i="20"/>
  <c r="AK137" i="20"/>
  <c r="AJ137" i="20"/>
  <c r="AI137" i="20"/>
  <c r="AP136" i="20"/>
  <c r="AO136" i="20"/>
  <c r="AN136" i="20"/>
  <c r="AM136" i="20"/>
  <c r="AL136" i="20"/>
  <c r="AK136" i="20"/>
  <c r="AJ136" i="20"/>
  <c r="AG96" i="20"/>
  <c r="AM96" i="20" s="1"/>
  <c r="AG127" i="20"/>
  <c r="AM127" i="20" s="1"/>
  <c r="C128" i="20"/>
  <c r="AK125" i="20"/>
  <c r="AC125" i="20"/>
  <c r="B125" i="20"/>
  <c r="AR98" i="20"/>
  <c r="AR100" i="20" s="1"/>
  <c r="C97" i="20"/>
  <c r="AK94" i="20"/>
  <c r="AC94" i="20"/>
  <c r="B94" i="20"/>
  <c r="AK63" i="20"/>
  <c r="AC63" i="20"/>
  <c r="B63" i="20"/>
  <c r="AG65" i="20"/>
  <c r="AR67" i="20"/>
  <c r="AR69" i="20" s="1"/>
  <c r="G65" i="20"/>
  <c r="C66" i="20"/>
  <c r="S193" i="20"/>
  <c r="E193" i="20"/>
  <c r="AG192" i="20"/>
  <c r="S192" i="20"/>
  <c r="E192" i="20"/>
  <c r="AG191" i="20"/>
  <c r="S191" i="20"/>
  <c r="E191" i="20"/>
  <c r="AM189" i="20"/>
  <c r="V173" i="20"/>
  <c r="Z6" i="23" s="1"/>
  <c r="L9" i="23" s="1"/>
  <c r="Q173" i="20"/>
  <c r="X6" i="23" s="1"/>
  <c r="V7" i="23"/>
  <c r="P8" i="23" s="1"/>
  <c r="T7" i="23"/>
  <c r="Z7" i="23"/>
  <c r="P9" i="23" s="1"/>
  <c r="X7" i="23"/>
  <c r="V167" i="20"/>
  <c r="V6" i="23" s="1"/>
  <c r="L8" i="23" s="1"/>
  <c r="Q167" i="20"/>
  <c r="T6" i="23" s="1"/>
  <c r="S162" i="20"/>
  <c r="E162" i="20"/>
  <c r="AG161" i="20"/>
  <c r="S161" i="20"/>
  <c r="E161" i="20"/>
  <c r="AG160" i="20"/>
  <c r="S160" i="20"/>
  <c r="E160" i="20"/>
  <c r="V142" i="20"/>
  <c r="AH4" i="23" s="1"/>
  <c r="D11" i="23" s="1"/>
  <c r="Q142" i="20"/>
  <c r="AF4" i="23" s="1"/>
  <c r="V140" i="20"/>
  <c r="AB5" i="23" s="1"/>
  <c r="J10" i="23" s="1"/>
  <c r="Q140" i="20"/>
  <c r="AD5" i="23" s="1"/>
  <c r="V138" i="20"/>
  <c r="AF5" i="23" s="1"/>
  <c r="J11" i="23" s="1"/>
  <c r="Q138" i="20"/>
  <c r="AH5" i="23" s="1"/>
  <c r="V136" i="20"/>
  <c r="AD4" i="23" s="1"/>
  <c r="D10" i="23" s="1"/>
  <c r="Q136" i="20"/>
  <c r="AB4" i="23" s="1"/>
  <c r="S131" i="20"/>
  <c r="E131" i="20"/>
  <c r="AG130" i="20"/>
  <c r="T127" i="20" s="1"/>
  <c r="C44" i="16" s="1"/>
  <c r="S130" i="20"/>
  <c r="E130" i="20"/>
  <c r="AG129" i="20"/>
  <c r="S129" i="20"/>
  <c r="E129" i="20"/>
  <c r="V111" i="20"/>
  <c r="AD7" i="23" s="1"/>
  <c r="P10" i="23" s="1"/>
  <c r="Q111" i="20"/>
  <c r="AB7" i="23" s="1"/>
  <c r="V109" i="20"/>
  <c r="X5" i="23" s="1"/>
  <c r="J9" i="23" s="1"/>
  <c r="Q109" i="20"/>
  <c r="Z5" i="23" s="1"/>
  <c r="V107" i="20"/>
  <c r="AD9" i="23" s="1"/>
  <c r="X10" i="23" s="1"/>
  <c r="Q107" i="20"/>
  <c r="AB9" i="23" s="1"/>
  <c r="V105" i="20"/>
  <c r="R5" i="23" s="1"/>
  <c r="H7" i="23" s="1"/>
  <c r="Q105" i="20"/>
  <c r="P5" i="23" s="1"/>
  <c r="S100" i="20"/>
  <c r="E100" i="20"/>
  <c r="AG99" i="20"/>
  <c r="S99" i="20"/>
  <c r="E99" i="20"/>
  <c r="AG98" i="20"/>
  <c r="T96" i="20" s="1"/>
  <c r="C34" i="16" s="1"/>
  <c r="S98" i="20"/>
  <c r="E98" i="20"/>
  <c r="V80" i="20"/>
  <c r="AH6" i="23" s="1"/>
  <c r="L11" i="23" s="1"/>
  <c r="Q80" i="20"/>
  <c r="AF6" i="23" s="1"/>
  <c r="V78" i="20"/>
  <c r="T4" i="23" s="1"/>
  <c r="F8" i="23" s="1"/>
  <c r="Q78" i="20"/>
  <c r="V4" i="23" s="1"/>
  <c r="V76" i="20"/>
  <c r="AH8" i="23" s="1"/>
  <c r="T11" i="23" s="1"/>
  <c r="Q76" i="20"/>
  <c r="V74" i="20"/>
  <c r="N4" i="23" s="1"/>
  <c r="D6" i="23" s="1"/>
  <c r="Q74" i="20"/>
  <c r="L4" i="23" s="1"/>
  <c r="S69" i="20"/>
  <c r="E69" i="20"/>
  <c r="AG68" i="20"/>
  <c r="T65" i="20" s="1"/>
  <c r="C26" i="16" s="1"/>
  <c r="S68" i="20"/>
  <c r="E68" i="20"/>
  <c r="AG67" i="20"/>
  <c r="S67" i="20"/>
  <c r="E67" i="20"/>
  <c r="AM65" i="20"/>
  <c r="AG36" i="22"/>
  <c r="S37" i="22"/>
  <c r="T34" i="22" s="1"/>
  <c r="S38" i="22"/>
  <c r="S36" i="22"/>
  <c r="E37" i="22"/>
  <c r="E38" i="22"/>
  <c r="E36" i="22"/>
  <c r="AG34" i="22"/>
  <c r="AM34" i="22" s="1"/>
  <c r="AG34" i="21"/>
  <c r="AM34" i="21" s="1"/>
  <c r="AG3" i="21"/>
  <c r="AM3" i="21" s="1"/>
  <c r="AG3" i="22"/>
  <c r="I7" i="16"/>
  <c r="AG36" i="21"/>
  <c r="E37" i="21"/>
  <c r="E38" i="21"/>
  <c r="S37" i="21"/>
  <c r="S38" i="21"/>
  <c r="S36" i="21"/>
  <c r="E36" i="21"/>
  <c r="G34" i="22"/>
  <c r="O34" i="22"/>
  <c r="N34" i="22"/>
  <c r="M34" i="22"/>
  <c r="L34" i="22"/>
  <c r="K34" i="22"/>
  <c r="J34" i="22"/>
  <c r="I34" i="22"/>
  <c r="H34" i="22"/>
  <c r="C35" i="22"/>
  <c r="G3" i="22"/>
  <c r="C4" i="22"/>
  <c r="AG5" i="22"/>
  <c r="S7" i="22"/>
  <c r="S6" i="22"/>
  <c r="S5" i="22"/>
  <c r="E7" i="22"/>
  <c r="E6" i="22"/>
  <c r="E5" i="22"/>
  <c r="V47" i="22"/>
  <c r="AB32" i="23" s="1"/>
  <c r="Q47" i="22"/>
  <c r="AD32" i="23" s="1"/>
  <c r="T34" i="23" s="1"/>
  <c r="V45" i="22"/>
  <c r="AB33" i="23" s="1"/>
  <c r="Q45" i="22"/>
  <c r="AD33" i="23" s="1"/>
  <c r="X34" i="23" s="1"/>
  <c r="V43" i="22"/>
  <c r="Z32" i="23" s="1"/>
  <c r="T33" i="23" s="1"/>
  <c r="Q43" i="22"/>
  <c r="X32" i="23" s="1"/>
  <c r="V18" i="22"/>
  <c r="L29" i="23" s="1"/>
  <c r="Q18" i="22"/>
  <c r="N29" i="23" s="1"/>
  <c r="H30" i="23" s="1"/>
  <c r="V16" i="22"/>
  <c r="R28" i="23" s="1"/>
  <c r="D31" i="23" s="1"/>
  <c r="Q16" i="22"/>
  <c r="P28" i="23" s="1"/>
  <c r="V14" i="22"/>
  <c r="R30" i="23" s="1"/>
  <c r="L31" i="23" s="1"/>
  <c r="Q14" i="22"/>
  <c r="P30" i="23" s="1"/>
  <c r="V12" i="22"/>
  <c r="J28" i="23" s="1"/>
  <c r="D29" i="23" s="1"/>
  <c r="Q12" i="22"/>
  <c r="H28" i="23" s="1"/>
  <c r="AM3" i="22"/>
  <c r="Q45" i="21"/>
  <c r="X20" i="23" s="1"/>
  <c r="V45" i="21"/>
  <c r="Z20" i="23" s="1"/>
  <c r="T21" i="23" s="1"/>
  <c r="Q47" i="21"/>
  <c r="AB20" i="23" s="1"/>
  <c r="AA20" i="23" s="1"/>
  <c r="V47" i="21"/>
  <c r="AD20" i="23" s="1"/>
  <c r="C6" i="16"/>
  <c r="Z6" i="16" s="1"/>
  <c r="A8" i="16" s="1"/>
  <c r="O6" i="16"/>
  <c r="AB6" i="16" s="1"/>
  <c r="O14" i="16"/>
  <c r="AB14" i="16" s="1"/>
  <c r="N16" i="16"/>
  <c r="N17" i="16" s="1"/>
  <c r="N18" i="16" s="1"/>
  <c r="G34" i="21"/>
  <c r="I13" i="16"/>
  <c r="C35" i="21" s="1"/>
  <c r="G3" i="21"/>
  <c r="C4" i="21"/>
  <c r="AG5" i="21"/>
  <c r="S7" i="21"/>
  <c r="S6" i="21"/>
  <c r="S5" i="21"/>
  <c r="E6" i="21"/>
  <c r="E7" i="21"/>
  <c r="E5" i="21"/>
  <c r="V43" i="21"/>
  <c r="AB21" i="23" s="1"/>
  <c r="Q43" i="21"/>
  <c r="AD21" i="23" s="1"/>
  <c r="X22" i="23" s="1"/>
  <c r="V18" i="21"/>
  <c r="L17" i="23" s="1"/>
  <c r="Q18" i="21"/>
  <c r="N17" i="23" s="1"/>
  <c r="V16" i="21"/>
  <c r="R16" i="23" s="1"/>
  <c r="D19" i="23" s="1"/>
  <c r="Q16" i="21"/>
  <c r="P16" i="23" s="1"/>
  <c r="V14" i="21"/>
  <c r="R18" i="23" s="1"/>
  <c r="L19" i="23" s="1"/>
  <c r="Q14" i="21"/>
  <c r="P18" i="23" s="1"/>
  <c r="V12" i="21"/>
  <c r="J16" i="23" s="1"/>
  <c r="D17" i="23" s="1"/>
  <c r="Q12" i="21"/>
  <c r="H16" i="23" s="1"/>
  <c r="V49" i="20"/>
  <c r="AF9" i="23" s="1"/>
  <c r="Z11" i="23" s="1"/>
  <c r="Q49" i="20"/>
  <c r="AH9" i="23" s="1"/>
  <c r="V47" i="20"/>
  <c r="AB8" i="23" s="1"/>
  <c r="Q47" i="20"/>
  <c r="AD8" i="23" s="1"/>
  <c r="T10" i="23" s="1"/>
  <c r="V45" i="20"/>
  <c r="AH10" i="23" s="1"/>
  <c r="AB11" i="23" s="1"/>
  <c r="Q45" i="20"/>
  <c r="AF10" i="23" s="1"/>
  <c r="C14" i="16"/>
  <c r="B8" i="16"/>
  <c r="B9" i="16" s="1"/>
  <c r="I14" i="16"/>
  <c r="I6" i="16"/>
  <c r="O15" i="16"/>
  <c r="I15" i="16"/>
  <c r="C15" i="16"/>
  <c r="O7" i="16"/>
  <c r="C7" i="16"/>
  <c r="C61" i="16"/>
  <c r="C51" i="16"/>
  <c r="O61" i="16"/>
  <c r="AB61" i="16" s="1"/>
  <c r="I61" i="16"/>
  <c r="AA61" i="16" s="1"/>
  <c r="O60" i="16"/>
  <c r="I60" i="16"/>
  <c r="C42" i="16"/>
  <c r="C5" i="16"/>
  <c r="C69" i="16"/>
  <c r="O51" i="16"/>
  <c r="AB51" i="16" s="1"/>
  <c r="I51" i="16"/>
  <c r="AA51" i="16" s="1"/>
  <c r="O43" i="16"/>
  <c r="AB43" i="16" s="1"/>
  <c r="I43" i="16"/>
  <c r="AA43" i="16" s="1"/>
  <c r="C43" i="16"/>
  <c r="Z43" i="16" s="1"/>
  <c r="O33" i="16"/>
  <c r="AB33" i="16" s="1"/>
  <c r="I33" i="16"/>
  <c r="AA33" i="16" s="1"/>
  <c r="C33" i="16"/>
  <c r="Z33" i="16" s="1"/>
  <c r="O25" i="16"/>
  <c r="AB25" i="16" s="1"/>
  <c r="I25" i="16"/>
  <c r="C25" i="16"/>
  <c r="Z25" i="16" s="1"/>
  <c r="B27" i="16" s="1"/>
  <c r="B28" i="16" s="1"/>
  <c r="B29" i="16" s="1"/>
  <c r="B30" i="16" s="1"/>
  <c r="I5" i="16"/>
  <c r="N71" i="16"/>
  <c r="N72" i="16" s="1"/>
  <c r="N73" i="16" s="1"/>
  <c r="N74" i="16" s="1"/>
  <c r="T63" i="16"/>
  <c r="T64" i="16" s="1"/>
  <c r="T65" i="16" s="1"/>
  <c r="T66" i="16" s="1"/>
  <c r="H63" i="16"/>
  <c r="H64" i="16" s="1"/>
  <c r="H65" i="16" s="1"/>
  <c r="H66" i="16" s="1"/>
  <c r="H58" i="16"/>
  <c r="F58" i="16"/>
  <c r="O50" i="16"/>
  <c r="I50" i="16"/>
  <c r="C68" i="16"/>
  <c r="C60" i="16"/>
  <c r="C50" i="16"/>
  <c r="T45" i="16"/>
  <c r="T46" i="16" s="1"/>
  <c r="T47" i="16" s="1"/>
  <c r="T48" i="16" s="1"/>
  <c r="O42" i="16"/>
  <c r="I42" i="16"/>
  <c r="H40" i="16"/>
  <c r="F40" i="16"/>
  <c r="H71" i="16"/>
  <c r="H72" i="16" s="1"/>
  <c r="H73" i="16" s="1"/>
  <c r="H74" i="16" s="1"/>
  <c r="M63" i="16"/>
  <c r="T35" i="16"/>
  <c r="T36" i="16" s="1"/>
  <c r="T37" i="16" s="1"/>
  <c r="T38" i="16" s="1"/>
  <c r="O32" i="16"/>
  <c r="I32" i="16"/>
  <c r="H35" i="16"/>
  <c r="H36" i="16" s="1"/>
  <c r="H37" i="16" s="1"/>
  <c r="H38" i="16" s="1"/>
  <c r="B35" i="16"/>
  <c r="B36" i="16" s="1"/>
  <c r="B37" i="16" s="1"/>
  <c r="B38" i="16" s="1"/>
  <c r="C32" i="16"/>
  <c r="S27" i="16"/>
  <c r="O24" i="16"/>
  <c r="I24" i="16"/>
  <c r="C24" i="16"/>
  <c r="H22" i="16"/>
  <c r="F22" i="16"/>
  <c r="F3" i="16"/>
  <c r="H3" i="16"/>
  <c r="O13" i="16"/>
  <c r="C13" i="16"/>
  <c r="T8" i="16"/>
  <c r="T9" i="16" s="1"/>
  <c r="T10" i="16" s="1"/>
  <c r="T11" i="16" s="1"/>
  <c r="O5" i="16"/>
  <c r="S16" i="16"/>
  <c r="G71" i="16"/>
  <c r="S63" i="16"/>
  <c r="G63" i="16"/>
  <c r="S45" i="16"/>
  <c r="C27" i="10"/>
  <c r="C6" i="10"/>
  <c r="C34" i="10"/>
  <c r="C8" i="10"/>
  <c r="C20" i="10"/>
  <c r="C17" i="10"/>
  <c r="C41" i="10"/>
  <c r="C29" i="10"/>
  <c r="C40" i="10"/>
  <c r="C12" i="10"/>
  <c r="C25" i="10"/>
  <c r="C33" i="10"/>
  <c r="C11" i="10"/>
  <c r="C24" i="10"/>
  <c r="C28" i="10"/>
  <c r="C32" i="10"/>
  <c r="C39" i="10"/>
  <c r="C19" i="10"/>
  <c r="C38" i="10"/>
  <c r="C18" i="10"/>
  <c r="C26" i="10"/>
  <c r="C14" i="10"/>
  <c r="C7" i="10"/>
  <c r="C23" i="10"/>
  <c r="C31" i="10"/>
  <c r="C37" i="10"/>
  <c r="C42" i="10"/>
  <c r="C10" i="10"/>
  <c r="C16" i="10"/>
  <c r="C22" i="10"/>
  <c r="C9" i="10"/>
  <c r="C30" i="10"/>
  <c r="C15" i="10"/>
  <c r="C21" i="10"/>
  <c r="C36" i="10"/>
  <c r="C43" i="10"/>
  <c r="C35" i="10"/>
  <c r="C13" i="10"/>
  <c r="C12" i="20"/>
  <c r="C14" i="20"/>
  <c r="AM12" i="20"/>
  <c r="AL12" i="20"/>
  <c r="AN12" i="20"/>
  <c r="AO12" i="20"/>
  <c r="AK12" i="20"/>
  <c r="AP12" i="20"/>
  <c r="AJ12" i="20"/>
  <c r="B12" i="20"/>
  <c r="AA25" i="16" l="1"/>
  <c r="G27" i="16" s="1"/>
  <c r="G220" i="20"/>
  <c r="Z69" i="16"/>
  <c r="A71" i="16" s="1"/>
  <c r="G189" i="20"/>
  <c r="Z61" i="16"/>
  <c r="AA6" i="16"/>
  <c r="H8" i="16" s="1"/>
  <c r="G158" i="20"/>
  <c r="Z51" i="16"/>
  <c r="AA14" i="16"/>
  <c r="H16" i="16" s="1"/>
  <c r="Z14" i="16"/>
  <c r="B16" i="16" s="1"/>
  <c r="N8" i="16"/>
  <c r="N9" i="16" s="1"/>
  <c r="N10" i="16" s="1"/>
  <c r="N11" i="16" s="1"/>
  <c r="M8" i="16"/>
  <c r="S35" i="16"/>
  <c r="T27" i="16"/>
  <c r="T28" i="16" s="1"/>
  <c r="T29" i="16" s="1"/>
  <c r="T30" i="16" s="1"/>
  <c r="T16" i="16"/>
  <c r="T17" i="16" s="1"/>
  <c r="T18" i="16" s="1"/>
  <c r="M55" i="16"/>
  <c r="M53" i="16"/>
  <c r="M54" i="16"/>
  <c r="G127" i="20"/>
  <c r="AD11" i="23"/>
  <c r="AE10" i="23"/>
  <c r="V21" i="23"/>
  <c r="W20" i="23"/>
  <c r="G28" i="23"/>
  <c r="F29" i="23"/>
  <c r="C29" i="23" s="1"/>
  <c r="O30" i="23"/>
  <c r="N31" i="23"/>
  <c r="K31" i="23" s="1"/>
  <c r="F31" i="23"/>
  <c r="C31" i="23" s="1"/>
  <c r="O28" i="23"/>
  <c r="W32" i="23"/>
  <c r="V33" i="23"/>
  <c r="S33" i="23" s="1"/>
  <c r="AO20" i="23"/>
  <c r="H9" i="16"/>
  <c r="M38" i="16"/>
  <c r="M36" i="16"/>
  <c r="N35" i="16"/>
  <c r="M37" i="16"/>
  <c r="M35" i="16"/>
  <c r="H53" i="16"/>
  <c r="H54" i="16" s="1"/>
  <c r="H55" i="16" s="1"/>
  <c r="G54" i="16"/>
  <c r="G55" i="16"/>
  <c r="G53" i="16"/>
  <c r="M47" i="16"/>
  <c r="M45" i="16"/>
  <c r="M48" i="16"/>
  <c r="M46" i="16"/>
  <c r="AA11" i="23"/>
  <c r="AA8" i="23"/>
  <c r="V10" i="23"/>
  <c r="S10" i="23" s="1"/>
  <c r="AA21" i="23"/>
  <c r="Z22" i="23"/>
  <c r="W22" i="23" s="1"/>
  <c r="S21" i="23"/>
  <c r="K29" i="23"/>
  <c r="J30" i="23"/>
  <c r="G30" i="23" s="1"/>
  <c r="AA33" i="23"/>
  <c r="Z34" i="23"/>
  <c r="W34" i="23" s="1"/>
  <c r="V34" i="23"/>
  <c r="S34" i="23" s="1"/>
  <c r="AA32" i="23"/>
  <c r="AO4" i="23"/>
  <c r="AN4" i="23" s="1"/>
  <c r="AO29" i="23"/>
  <c r="AN29" i="23" s="1"/>
  <c r="AO31" i="23"/>
  <c r="AO16" i="23"/>
  <c r="AN16" i="23" s="1"/>
  <c r="AO7" i="23"/>
  <c r="AO28" i="23"/>
  <c r="AN28" i="23" s="1"/>
  <c r="AO19" i="23"/>
  <c r="AO17" i="23"/>
  <c r="AO6" i="23"/>
  <c r="AO5" i="23"/>
  <c r="AN5" i="23" s="1"/>
  <c r="R11" i="23"/>
  <c r="O11" i="23" s="1"/>
  <c r="AE7" i="23"/>
  <c r="AA6" i="23"/>
  <c r="N10" i="23"/>
  <c r="K10" i="23" s="1"/>
  <c r="F9" i="23"/>
  <c r="C9" i="23" s="1"/>
  <c r="W4" i="23"/>
  <c r="S5" i="23"/>
  <c r="J8" i="23"/>
  <c r="G8" i="23" s="1"/>
  <c r="W7" i="23"/>
  <c r="R9" i="23"/>
  <c r="O9" i="23" s="1"/>
  <c r="S6" i="23"/>
  <c r="N8" i="23"/>
  <c r="K8" i="23" s="1"/>
  <c r="S7" i="23"/>
  <c r="R8" i="23"/>
  <c r="O8" i="23" s="1"/>
  <c r="AE5" i="23"/>
  <c r="H11" i="23"/>
  <c r="G11" i="23" s="1"/>
  <c r="F11" i="23"/>
  <c r="C11" i="23" s="1"/>
  <c r="AE4" i="23"/>
  <c r="F10" i="23"/>
  <c r="C10" i="23" s="1"/>
  <c r="AA4" i="23"/>
  <c r="H10" i="23"/>
  <c r="G10" i="23" s="1"/>
  <c r="AA5" i="23"/>
  <c r="Z10" i="23"/>
  <c r="AA9" i="23"/>
  <c r="R10" i="23"/>
  <c r="AA7" i="23"/>
  <c r="H9" i="23"/>
  <c r="G9" i="23" s="1"/>
  <c r="W5" i="23"/>
  <c r="D8" i="23"/>
  <c r="C8" i="23" s="1"/>
  <c r="S4" i="23"/>
  <c r="AF8" i="23"/>
  <c r="N11" i="23"/>
  <c r="K11" i="23" s="1"/>
  <c r="AE6" i="23"/>
  <c r="O17" i="23"/>
  <c r="J19" i="23"/>
  <c r="G19" i="23" s="1"/>
  <c r="AA19" i="23"/>
  <c r="R22" i="23"/>
  <c r="O22" i="23" s="1"/>
  <c r="F20" i="23"/>
  <c r="C20" i="23" s="1"/>
  <c r="S16" i="23"/>
  <c r="N21" i="23"/>
  <c r="W18" i="23"/>
  <c r="F18" i="23"/>
  <c r="K16" i="23"/>
  <c r="J21" i="23"/>
  <c r="W17" i="23"/>
  <c r="S19" i="23"/>
  <c r="R20" i="23"/>
  <c r="J18" i="23"/>
  <c r="H18" i="23"/>
  <c r="AO18" i="23" s="1"/>
  <c r="K17" i="23"/>
  <c r="O16" i="23"/>
  <c r="F19" i="23"/>
  <c r="C19" i="23" s="1"/>
  <c r="O18" i="23"/>
  <c r="N19" i="23"/>
  <c r="F17" i="23"/>
  <c r="C17" i="23" s="1"/>
  <c r="G16" i="23"/>
  <c r="S31" i="23"/>
  <c r="R32" i="23"/>
  <c r="R34" i="23"/>
  <c r="O34" i="23" s="1"/>
  <c r="AA31" i="23"/>
  <c r="D32" i="23"/>
  <c r="C32" i="23" s="1"/>
  <c r="S28" i="23"/>
  <c r="L33" i="23"/>
  <c r="AO33" i="23" s="1"/>
  <c r="W30" i="23"/>
  <c r="F30" i="23"/>
  <c r="N34" i="23"/>
  <c r="D30" i="23"/>
  <c r="C30" i="23" s="1"/>
  <c r="K28" i="23"/>
  <c r="L34" i="23"/>
  <c r="AO34" i="23" s="1"/>
  <c r="AA30" i="23"/>
  <c r="J31" i="23"/>
  <c r="AN31" i="23" s="1"/>
  <c r="O29" i="23"/>
  <c r="J33" i="23"/>
  <c r="W29" i="23"/>
  <c r="B10" i="16"/>
  <c r="W6" i="23"/>
  <c r="N9" i="23"/>
  <c r="K9" i="23" s="1"/>
  <c r="O5" i="23"/>
  <c r="J7" i="23"/>
  <c r="K4" i="23"/>
  <c r="F6" i="23"/>
  <c r="B71" i="16"/>
  <c r="B72" i="16" s="1"/>
  <c r="G35" i="16"/>
  <c r="H27" i="16"/>
  <c r="H28" i="16" s="1"/>
  <c r="H29" i="16" s="1"/>
  <c r="H30" i="16" s="1"/>
  <c r="A27" i="16"/>
  <c r="N45" i="16"/>
  <c r="N46" i="16" s="1"/>
  <c r="N47" i="16" s="1"/>
  <c r="N48" i="16" s="1"/>
  <c r="A35" i="16"/>
  <c r="S8" i="16"/>
  <c r="M71" i="16"/>
  <c r="N63" i="16"/>
  <c r="N64" i="16" s="1"/>
  <c r="N65" i="16" s="1"/>
  <c r="N66" i="16" s="1"/>
  <c r="T71" i="16"/>
  <c r="T72" i="16" s="1"/>
  <c r="T73" i="16" s="1"/>
  <c r="T74" i="16" s="1"/>
  <c r="S71" i="16"/>
  <c r="N27" i="16"/>
  <c r="N28" i="16" s="1"/>
  <c r="N29" i="16" s="1"/>
  <c r="N30" i="16" s="1"/>
  <c r="M27" i="16"/>
  <c r="B45" i="16"/>
  <c r="B46" i="16" s="1"/>
  <c r="B47" i="16" s="1"/>
  <c r="B48" i="16" s="1"/>
  <c r="A45" i="16"/>
  <c r="H45" i="16"/>
  <c r="G45" i="16"/>
  <c r="N53" i="16"/>
  <c r="N54" i="16" s="1"/>
  <c r="N55" i="16" s="1"/>
  <c r="T53" i="16"/>
  <c r="T54" i="16" s="1"/>
  <c r="T55" i="16" s="1"/>
  <c r="T56" i="16" s="1"/>
  <c r="S53" i="16"/>
  <c r="G96" i="20"/>
  <c r="C12" i="21"/>
  <c r="C43" i="21"/>
  <c r="C43" i="20"/>
  <c r="C14" i="21"/>
  <c r="C16" i="20"/>
  <c r="B17" i="16" l="1"/>
  <c r="B18" i="16" s="1"/>
  <c r="B19" i="16" s="1"/>
  <c r="H17" i="16"/>
  <c r="A16" i="16"/>
  <c r="G16" i="16"/>
  <c r="G8" i="16"/>
  <c r="H46" i="16"/>
  <c r="H47" i="16" s="1"/>
  <c r="H48" i="16" s="1"/>
  <c r="H10" i="16"/>
  <c r="A53" i="16"/>
  <c r="A55" i="16"/>
  <c r="A56" i="16"/>
  <c r="A54" i="16"/>
  <c r="AN17" i="23"/>
  <c r="N36" i="16"/>
  <c r="N37" i="16" s="1"/>
  <c r="N38" i="16" s="1"/>
  <c r="AO10" i="23"/>
  <c r="AN10" i="23" s="1"/>
  <c r="AN33" i="23"/>
  <c r="AO32" i="23"/>
  <c r="AN32" i="23" s="1"/>
  <c r="AN19" i="23"/>
  <c r="AO8" i="23"/>
  <c r="AN8" i="23" s="1"/>
  <c r="C6" i="23"/>
  <c r="AN6" i="23"/>
  <c r="AO9" i="23"/>
  <c r="AN9" i="23" s="1"/>
  <c r="W10" i="23"/>
  <c r="G7" i="23"/>
  <c r="AM7" i="23" s="1"/>
  <c r="AN7" i="23"/>
  <c r="C18" i="23"/>
  <c r="AN18" i="23"/>
  <c r="AN34" i="23"/>
  <c r="AO30" i="23"/>
  <c r="AN30" i="23" s="1"/>
  <c r="O20" i="23"/>
  <c r="AN20" i="23"/>
  <c r="G21" i="23"/>
  <c r="B53" i="16"/>
  <c r="B54" i="16" s="1"/>
  <c r="B55" i="16" s="1"/>
  <c r="B56" i="16" s="1"/>
  <c r="O10" i="23"/>
  <c r="AE8" i="23"/>
  <c r="V11" i="23"/>
  <c r="AE9" i="23"/>
  <c r="X11" i="23"/>
  <c r="AO11" i="23" s="1"/>
  <c r="AM8" i="23"/>
  <c r="AL8" i="23"/>
  <c r="AK8" i="23"/>
  <c r="G18" i="23"/>
  <c r="K19" i="23"/>
  <c r="AM17" i="23"/>
  <c r="AL17" i="23"/>
  <c r="AK17" i="23"/>
  <c r="O32" i="23"/>
  <c r="AK32" i="23" s="1"/>
  <c r="K33" i="23"/>
  <c r="AM32" i="23"/>
  <c r="AK28" i="23"/>
  <c r="AM28" i="23"/>
  <c r="AL28" i="23"/>
  <c r="K34" i="23"/>
  <c r="AM30" i="23"/>
  <c r="AL30" i="23"/>
  <c r="AK30" i="23"/>
  <c r="G31" i="23"/>
  <c r="AK29" i="23"/>
  <c r="AL29" i="23"/>
  <c r="AM29" i="23"/>
  <c r="G33" i="23"/>
  <c r="B11" i="16"/>
  <c r="AM9" i="23"/>
  <c r="AK9" i="23"/>
  <c r="AL9" i="23"/>
  <c r="AM5" i="23"/>
  <c r="AL5" i="23"/>
  <c r="AK5" i="23"/>
  <c r="AK4" i="23"/>
  <c r="AM4" i="23"/>
  <c r="AL4" i="23"/>
  <c r="AL6" i="23"/>
  <c r="AK6" i="23"/>
  <c r="AM6" i="23"/>
  <c r="B63" i="16"/>
  <c r="B64" i="16" s="1"/>
  <c r="A63" i="16"/>
  <c r="B43" i="20"/>
  <c r="B12" i="21"/>
  <c r="C45" i="21"/>
  <c r="B43" i="21"/>
  <c r="C16" i="21"/>
  <c r="H18" i="16" l="1"/>
  <c r="H11" i="16"/>
  <c r="S11" i="23"/>
  <c r="AN11" i="23"/>
  <c r="AL7" i="23"/>
  <c r="AK7" i="23"/>
  <c r="AI7" i="23" s="1"/>
  <c r="AU7" i="23" s="1"/>
  <c r="AL32" i="23"/>
  <c r="AL10" i="23"/>
  <c r="AM10" i="23"/>
  <c r="AK10" i="23"/>
  <c r="AI8" i="23"/>
  <c r="AT8" i="23" s="1"/>
  <c r="AJ8" i="23"/>
  <c r="W11" i="23"/>
  <c r="AK19" i="23"/>
  <c r="AM19" i="23"/>
  <c r="AL19" i="23"/>
  <c r="AJ17" i="23"/>
  <c r="AI17" i="23"/>
  <c r="AI32" i="23"/>
  <c r="AU32" i="23" s="1"/>
  <c r="AJ32" i="23"/>
  <c r="AQ32" i="23" s="1"/>
  <c r="AJ28" i="23"/>
  <c r="AI28" i="23"/>
  <c r="AK34" i="23"/>
  <c r="AM34" i="23"/>
  <c r="AL34" i="23"/>
  <c r="AI30" i="23"/>
  <c r="AJ30" i="23"/>
  <c r="AL31" i="23"/>
  <c r="AK31" i="23"/>
  <c r="AM31" i="23"/>
  <c r="AL33" i="23"/>
  <c r="AM33" i="23"/>
  <c r="AK33" i="23"/>
  <c r="AI29" i="23"/>
  <c r="AJ29" i="23"/>
  <c r="T22" i="23"/>
  <c r="D22" i="23"/>
  <c r="L22" i="23"/>
  <c r="AO22" i="23" s="1"/>
  <c r="AJ9" i="23"/>
  <c r="AI9" i="23"/>
  <c r="AI5" i="23"/>
  <c r="AJ5" i="23"/>
  <c r="AI6" i="23"/>
  <c r="AJ6" i="23"/>
  <c r="AI4" i="23"/>
  <c r="AJ4" i="23"/>
  <c r="AR14" i="20"/>
  <c r="J14" i="20" s="1"/>
  <c r="AS14" i="20"/>
  <c r="X14" i="20" s="1"/>
  <c r="AR18" i="20"/>
  <c r="J18" i="20" s="1"/>
  <c r="AS18" i="20"/>
  <c r="X18" i="20" s="1"/>
  <c r="AS43" i="20"/>
  <c r="X43" i="20" s="1"/>
  <c r="AR43" i="20"/>
  <c r="J43" i="20" s="1"/>
  <c r="AR16" i="20"/>
  <c r="J16" i="20" s="1"/>
  <c r="AS16" i="20"/>
  <c r="X16" i="20" s="1"/>
  <c r="AR12" i="20"/>
  <c r="J12" i="20" s="1"/>
  <c r="AS12" i="20"/>
  <c r="X12" i="20" s="1"/>
  <c r="C47" i="21"/>
  <c r="C18" i="21"/>
  <c r="AJ7" i="23" l="1"/>
  <c r="D17" i="10"/>
  <c r="E28" i="10"/>
  <c r="F28" i="10" s="1"/>
  <c r="I28" i="10" s="1"/>
  <c r="J28" i="10" s="1"/>
  <c r="G7" i="10"/>
  <c r="H39" i="10"/>
  <c r="D20" i="10"/>
  <c r="H27" i="10"/>
  <c r="E16" i="10"/>
  <c r="F16" i="10" s="1"/>
  <c r="I16" i="10" s="1"/>
  <c r="J16" i="10" s="1"/>
  <c r="H32" i="10"/>
  <c r="H42" i="10"/>
  <c r="H15" i="10"/>
  <c r="E26" i="10"/>
  <c r="F26" i="10" s="1"/>
  <c r="I26" i="10" s="1"/>
  <c r="J26" i="10" s="1"/>
  <c r="G42" i="10"/>
  <c r="D39" i="10"/>
  <c r="G13" i="10"/>
  <c r="H23" i="10"/>
  <c r="E30" i="10"/>
  <c r="F30" i="10" s="1"/>
  <c r="I30" i="10" s="1"/>
  <c r="J30" i="10" s="1"/>
  <c r="B18" i="10"/>
  <c r="G26" i="10"/>
  <c r="B41" i="10"/>
  <c r="G35" i="10"/>
  <c r="E39" i="10"/>
  <c r="F39" i="10" s="1"/>
  <c r="I39" i="10" s="1"/>
  <c r="J39" i="10" s="1"/>
  <c r="G23" i="10"/>
  <c r="H12" i="10"/>
  <c r="E10" i="10"/>
  <c r="F10" i="10" s="1"/>
  <c r="I10" i="10" s="1"/>
  <c r="J10" i="10" s="1"/>
  <c r="B21" i="10"/>
  <c r="G40" i="10"/>
  <c r="E7" i="10"/>
  <c r="F7" i="10" s="1"/>
  <c r="I7" i="10" s="1"/>
  <c r="J7" i="10" s="1"/>
  <c r="E24" i="10"/>
  <c r="F24" i="10" s="1"/>
  <c r="I24" i="10" s="1"/>
  <c r="J24" i="10" s="1"/>
  <c r="D33" i="10"/>
  <c r="B11" i="10"/>
  <c r="G9" i="10"/>
  <c r="H34" i="10"/>
  <c r="D22" i="10"/>
  <c r="E41" i="10"/>
  <c r="F41" i="10" s="1"/>
  <c r="I41" i="10" s="1"/>
  <c r="J41" i="10" s="1"/>
  <c r="E38" i="10"/>
  <c r="F38" i="10" s="1"/>
  <c r="I38" i="10" s="1"/>
  <c r="J38" i="10" s="1"/>
  <c r="E23" i="10"/>
  <c r="F23" i="10" s="1"/>
  <c r="I23" i="10" s="1"/>
  <c r="J23" i="10" s="1"/>
  <c r="H6" i="10"/>
  <c r="D25" i="10"/>
  <c r="D6" i="10"/>
  <c r="G14" i="10"/>
  <c r="G6" i="10"/>
  <c r="D42" i="10"/>
  <c r="D43" i="10"/>
  <c r="G31" i="10"/>
  <c r="G41" i="10"/>
  <c r="B31" i="10"/>
  <c r="E33" i="10"/>
  <c r="F33" i="10" s="1"/>
  <c r="I33" i="10" s="1"/>
  <c r="J33" i="10" s="1"/>
  <c r="B20" i="10"/>
  <c r="H43" i="10"/>
  <c r="H17" i="10"/>
  <c r="H10" i="10"/>
  <c r="B12" i="10"/>
  <c r="E6" i="10"/>
  <c r="F6" i="10" s="1"/>
  <c r="I6" i="10" s="1"/>
  <c r="J6" i="10" s="1"/>
  <c r="B6" i="10"/>
  <c r="H35" i="10"/>
  <c r="G15" i="10"/>
  <c r="D13" i="10"/>
  <c r="B34" i="10"/>
  <c r="H31" i="10"/>
  <c r="G30" i="10"/>
  <c r="B40" i="10"/>
  <c r="H38" i="10"/>
  <c r="H37" i="10"/>
  <c r="G10" i="10"/>
  <c r="B42" i="10"/>
  <c r="B28" i="10"/>
  <c r="G32" i="10"/>
  <c r="G33" i="10"/>
  <c r="G8" i="10"/>
  <c r="D8" i="10"/>
  <c r="E43" i="10"/>
  <c r="F43" i="10" s="1"/>
  <c r="I43" i="10" s="1"/>
  <c r="J43" i="10" s="1"/>
  <c r="G37" i="10"/>
  <c r="E37" i="10"/>
  <c r="F37" i="10" s="1"/>
  <c r="I37" i="10" s="1"/>
  <c r="J37" i="10" s="1"/>
  <c r="E11" i="10"/>
  <c r="F11" i="10" s="1"/>
  <c r="I11" i="10" s="1"/>
  <c r="J11" i="10" s="1"/>
  <c r="H28" i="10"/>
  <c r="D16" i="10"/>
  <c r="D18" i="10"/>
  <c r="D36" i="10"/>
  <c r="B30" i="10"/>
  <c r="H25" i="10"/>
  <c r="H16" i="10"/>
  <c r="H7" i="10"/>
  <c r="D9" i="10"/>
  <c r="E29" i="10"/>
  <c r="F29" i="10" s="1"/>
  <c r="I29" i="10" s="1"/>
  <c r="J29" i="10" s="1"/>
  <c r="B43" i="10"/>
  <c r="E14" i="10"/>
  <c r="F14" i="10" s="1"/>
  <c r="I14" i="10" s="1"/>
  <c r="J14" i="10" s="1"/>
  <c r="H30" i="10"/>
  <c r="E8" i="10"/>
  <c r="F8" i="10" s="1"/>
  <c r="I8" i="10" s="1"/>
  <c r="J8" i="10" s="1"/>
  <c r="B8" i="10"/>
  <c r="H33" i="10"/>
  <c r="H21" i="10"/>
  <c r="G27" i="10"/>
  <c r="E36" i="10"/>
  <c r="F36" i="10" s="1"/>
  <c r="I36" i="10" s="1"/>
  <c r="J36" i="10" s="1"/>
  <c r="D37" i="10"/>
  <c r="H20" i="10"/>
  <c r="E31" i="10"/>
  <c r="F31" i="10" s="1"/>
  <c r="I31" i="10" s="1"/>
  <c r="J31" i="10" s="1"/>
  <c r="D24" i="10"/>
  <c r="B27" i="10"/>
  <c r="E19" i="10"/>
  <c r="F19" i="10" s="1"/>
  <c r="I19" i="10" s="1"/>
  <c r="J19" i="10" s="1"/>
  <c r="B35" i="10"/>
  <c r="G20" i="10"/>
  <c r="D31" i="10"/>
  <c r="B19" i="10"/>
  <c r="D26" i="10"/>
  <c r="E35" i="10"/>
  <c r="F35" i="10" s="1"/>
  <c r="I35" i="10" s="1"/>
  <c r="J35" i="10" s="1"/>
  <c r="B13" i="10"/>
  <c r="G16" i="10"/>
  <c r="E42" i="10"/>
  <c r="F42" i="10" s="1"/>
  <c r="I42" i="10" s="1"/>
  <c r="J42" i="10" s="1"/>
  <c r="G17" i="10"/>
  <c r="D30" i="10"/>
  <c r="D7" i="10"/>
  <c r="G38" i="10"/>
  <c r="B33" i="10"/>
  <c r="B39" i="10"/>
  <c r="E25" i="10"/>
  <c r="F25" i="10" s="1"/>
  <c r="I25" i="10" s="1"/>
  <c r="J25" i="10" s="1"/>
  <c r="G36" i="10"/>
  <c r="D19" i="10"/>
  <c r="D23" i="10"/>
  <c r="H26" i="10"/>
  <c r="D35" i="10"/>
  <c r="H18" i="10"/>
  <c r="G28" i="10"/>
  <c r="H36" i="10"/>
  <c r="E12" i="10"/>
  <c r="F12" i="10" s="1"/>
  <c r="I12" i="10" s="1"/>
  <c r="J12" i="10" s="1"/>
  <c r="E20" i="10"/>
  <c r="F20" i="10" s="1"/>
  <c r="I20" i="10" s="1"/>
  <c r="J20" i="10" s="1"/>
  <c r="B25" i="10"/>
  <c r="G21" i="10"/>
  <c r="G34" i="10"/>
  <c r="B32" i="10"/>
  <c r="B22" i="10"/>
  <c r="D41" i="10"/>
  <c r="B26" i="10"/>
  <c r="E27" i="10"/>
  <c r="F27" i="10" s="1"/>
  <c r="I27" i="10" s="1"/>
  <c r="J27" i="10" s="1"/>
  <c r="E40" i="10"/>
  <c r="F40" i="10" s="1"/>
  <c r="I40" i="10" s="1"/>
  <c r="J40" i="10" s="1"/>
  <c r="H8" i="10"/>
  <c r="D40" i="10"/>
  <c r="G24" i="10"/>
  <c r="H22" i="10"/>
  <c r="D32" i="10"/>
  <c r="D38" i="10"/>
  <c r="H14" i="10"/>
  <c r="B17" i="10"/>
  <c r="E9" i="10"/>
  <c r="F9" i="10" s="1"/>
  <c r="I9" i="10" s="1"/>
  <c r="J9" i="10" s="1"/>
  <c r="H9" i="10"/>
  <c r="D10" i="10"/>
  <c r="B23" i="10"/>
  <c r="H41" i="10"/>
  <c r="H19" i="10"/>
  <c r="D12" i="10"/>
  <c r="G43" i="10"/>
  <c r="D27" i="10"/>
  <c r="B37" i="10"/>
  <c r="B14" i="10"/>
  <c r="B36" i="10"/>
  <c r="E21" i="10"/>
  <c r="F21" i="10" s="1"/>
  <c r="I21" i="10" s="1"/>
  <c r="J21" i="10" s="1"/>
  <c r="E32" i="10"/>
  <c r="F32" i="10" s="1"/>
  <c r="I32" i="10" s="1"/>
  <c r="J32" i="10" s="1"/>
  <c r="D29" i="10"/>
  <c r="G39" i="10"/>
  <c r="G11" i="10"/>
  <c r="B38" i="10"/>
  <c r="B9" i="10"/>
  <c r="D14" i="10"/>
  <c r="G18" i="10"/>
  <c r="E18" i="10"/>
  <c r="F18" i="10" s="1"/>
  <c r="I18" i="10" s="1"/>
  <c r="J18" i="10" s="1"/>
  <c r="B29" i="10"/>
  <c r="D21" i="10"/>
  <c r="D11" i="10"/>
  <c r="D15" i="10"/>
  <c r="G19" i="10"/>
  <c r="G29" i="10"/>
  <c r="B7" i="10"/>
  <c r="G12" i="10"/>
  <c r="G22" i="10"/>
  <c r="E22" i="10"/>
  <c r="F22" i="10" s="1"/>
  <c r="I22" i="10" s="1"/>
  <c r="J22" i="10" s="1"/>
  <c r="D28" i="10"/>
  <c r="B15" i="10"/>
  <c r="H11" i="10"/>
  <c r="B10" i="10"/>
  <c r="G25" i="10"/>
  <c r="H40" i="10"/>
  <c r="B24" i="10"/>
  <c r="E17" i="10"/>
  <c r="F17" i="10" s="1"/>
  <c r="I17" i="10" s="1"/>
  <c r="J17" i="10" s="1"/>
  <c r="B16" i="10"/>
  <c r="H29" i="10"/>
  <c r="D34" i="10"/>
  <c r="E34" i="10"/>
  <c r="F34" i="10" s="1"/>
  <c r="I34" i="10" s="1"/>
  <c r="J34" i="10" s="1"/>
  <c r="E13" i="10"/>
  <c r="F13" i="10" s="1"/>
  <c r="I13" i="10" s="1"/>
  <c r="J13" i="10" s="1"/>
  <c r="H24" i="10"/>
  <c r="E15" i="10"/>
  <c r="F15" i="10" s="1"/>
  <c r="I15" i="10" s="1"/>
  <c r="J15" i="10" s="1"/>
  <c r="H13" i="10"/>
  <c r="AI10" i="23"/>
  <c r="AJ10" i="23"/>
  <c r="AU8" i="23"/>
  <c r="AK11" i="23"/>
  <c r="AM11" i="23"/>
  <c r="AL11" i="23"/>
  <c r="AS8" i="23"/>
  <c r="AV8" i="23" s="1"/>
  <c r="AQ8" i="23"/>
  <c r="AI19" i="23"/>
  <c r="AJ19" i="23"/>
  <c r="AT17" i="23"/>
  <c r="AU17" i="23"/>
  <c r="AQ17" i="23"/>
  <c r="AS17" i="23"/>
  <c r="AT32" i="23"/>
  <c r="AS32" i="23"/>
  <c r="AU28" i="23"/>
  <c r="AT28" i="23"/>
  <c r="AS28" i="23"/>
  <c r="AQ28" i="23"/>
  <c r="AU30" i="23"/>
  <c r="AT30" i="23"/>
  <c r="AQ30" i="23"/>
  <c r="AS30" i="23"/>
  <c r="AJ34" i="23"/>
  <c r="AQ34" i="23" s="1"/>
  <c r="AI34" i="23"/>
  <c r="AJ31" i="23"/>
  <c r="AI31" i="23"/>
  <c r="AJ33" i="23"/>
  <c r="AI33" i="23"/>
  <c r="AS29" i="23"/>
  <c r="AQ29" i="23"/>
  <c r="AT29" i="23"/>
  <c r="AU29" i="23"/>
  <c r="L21" i="23"/>
  <c r="N22" i="23"/>
  <c r="K22" i="23" s="1"/>
  <c r="AA18" i="23"/>
  <c r="AL18" i="23" s="1"/>
  <c r="D21" i="23"/>
  <c r="C21" i="23" s="1"/>
  <c r="F22" i="23"/>
  <c r="C22" i="23" s="1"/>
  <c r="AA16" i="23"/>
  <c r="AM16" i="23" s="1"/>
  <c r="V22" i="23"/>
  <c r="S22" i="23" s="1"/>
  <c r="AK20" i="23"/>
  <c r="AT4" i="23"/>
  <c r="AU4" i="23"/>
  <c r="AQ6" i="23"/>
  <c r="AS6" i="23"/>
  <c r="AQ5" i="23"/>
  <c r="AS5" i="23"/>
  <c r="AU9" i="23"/>
  <c r="AT9" i="23"/>
  <c r="AT6" i="23"/>
  <c r="AU6" i="23"/>
  <c r="AU5" i="23"/>
  <c r="AT5" i="23"/>
  <c r="AQ9" i="23"/>
  <c r="AS9" i="23"/>
  <c r="AQ4" i="23"/>
  <c r="AS4" i="23"/>
  <c r="AQ7" i="23"/>
  <c r="AS7" i="23"/>
  <c r="AT7" i="23"/>
  <c r="L5" i="10"/>
  <c r="AO21" i="23" l="1"/>
  <c r="AN21" i="23" s="1"/>
  <c r="AN22" i="23"/>
  <c r="AR12" i="21"/>
  <c r="J12" i="21" s="1"/>
  <c r="AS12" i="21"/>
  <c r="X12" i="21" s="1"/>
  <c r="AS47" i="21"/>
  <c r="X47" i="21" s="1"/>
  <c r="AR47" i="21"/>
  <c r="J47" i="21" s="1"/>
  <c r="AS43" i="21"/>
  <c r="X43" i="21" s="1"/>
  <c r="AR43" i="21"/>
  <c r="J43" i="21" s="1"/>
  <c r="AS14" i="21"/>
  <c r="X14" i="21" s="1"/>
  <c r="T3" i="21" s="1"/>
  <c r="AR14" i="21"/>
  <c r="J14" i="21" s="1"/>
  <c r="AR18" i="21"/>
  <c r="J18" i="21" s="1"/>
  <c r="AS18" i="21"/>
  <c r="X18" i="21" s="1"/>
  <c r="AR45" i="21"/>
  <c r="J45" i="21" s="1"/>
  <c r="T34" i="21" s="1"/>
  <c r="AS45" i="21"/>
  <c r="X45" i="21" s="1"/>
  <c r="AS16" i="21"/>
  <c r="X16" i="21" s="1"/>
  <c r="AR16" i="21"/>
  <c r="J16" i="21" s="1"/>
  <c r="AQ10" i="23"/>
  <c r="AS10" i="23"/>
  <c r="AU10" i="23"/>
  <c r="AT10" i="23"/>
  <c r="AI11" i="23"/>
  <c r="AJ11" i="23"/>
  <c r="AV17" i="23"/>
  <c r="AU19" i="23"/>
  <c r="AT19" i="23"/>
  <c r="AS19" i="23"/>
  <c r="AQ19" i="23"/>
  <c r="AV32" i="23"/>
  <c r="AV28" i="23"/>
  <c r="AV30" i="23"/>
  <c r="AS34" i="23"/>
  <c r="AT34" i="23"/>
  <c r="AU34" i="23"/>
  <c r="AU31" i="23"/>
  <c r="AT31" i="23"/>
  <c r="AQ31" i="23"/>
  <c r="AS31" i="23"/>
  <c r="AV29" i="23"/>
  <c r="AU33" i="23"/>
  <c r="AT33" i="23"/>
  <c r="AS33" i="23"/>
  <c r="AQ33" i="23"/>
  <c r="AK18" i="23"/>
  <c r="AM20" i="23"/>
  <c r="AJ20" i="23" s="1"/>
  <c r="AL20" i="23"/>
  <c r="AM22" i="23"/>
  <c r="AK22" i="23"/>
  <c r="AL22" i="23"/>
  <c r="AK16" i="23"/>
  <c r="AM18" i="23"/>
  <c r="AL16" i="23"/>
  <c r="K21" i="23"/>
  <c r="AM21" i="23" s="1"/>
  <c r="AV4" i="23"/>
  <c r="AV6" i="23"/>
  <c r="AV7" i="23"/>
  <c r="AV9" i="23"/>
  <c r="AV5" i="23"/>
  <c r="AV10" i="23" l="1"/>
  <c r="AQ11" i="23"/>
  <c r="AS11" i="23"/>
  <c r="AT11" i="23"/>
  <c r="AU11" i="23"/>
  <c r="AP33" i="23"/>
  <c r="AV19" i="23"/>
  <c r="AV31" i="23"/>
  <c r="AP31" i="23"/>
  <c r="AV34" i="23"/>
  <c r="AV33" i="23"/>
  <c r="AP32" i="23"/>
  <c r="AP30" i="23"/>
  <c r="AP34" i="23"/>
  <c r="AP28" i="23"/>
  <c r="AP29" i="23"/>
  <c r="AJ18" i="23"/>
  <c r="AQ18" i="23" s="1"/>
  <c r="AI20" i="23"/>
  <c r="AT20" i="23" s="1"/>
  <c r="AI18" i="23"/>
  <c r="AU18" i="23" s="1"/>
  <c r="AL21" i="23"/>
  <c r="AK21" i="23"/>
  <c r="AJ21" i="23" s="1"/>
  <c r="AI22" i="23"/>
  <c r="AJ22" i="23"/>
  <c r="AI16" i="23"/>
  <c r="AJ16" i="23"/>
  <c r="AQ20" i="23"/>
  <c r="AP9" i="23" l="1"/>
  <c r="AP10" i="23"/>
  <c r="AP5" i="23"/>
  <c r="AP4" i="23"/>
  <c r="AP6" i="23"/>
  <c r="AP7" i="23"/>
  <c r="AP8" i="23"/>
  <c r="AP11" i="23"/>
  <c r="AV11" i="23"/>
  <c r="AS18" i="23"/>
  <c r="AS20" i="23"/>
  <c r="AU20" i="23"/>
  <c r="AT18" i="23"/>
  <c r="AU16" i="23"/>
  <c r="AT16" i="23"/>
  <c r="AQ21" i="23"/>
  <c r="AS22" i="23"/>
  <c r="AQ22" i="23"/>
  <c r="AT22" i="23"/>
  <c r="AU22" i="23"/>
  <c r="AS16" i="23"/>
  <c r="AQ16" i="23"/>
  <c r="AI21" i="23"/>
  <c r="AS21" i="23" s="1"/>
  <c r="AP22" i="23" l="1"/>
  <c r="AP16" i="23"/>
  <c r="AP17" i="23"/>
  <c r="AP19" i="23"/>
  <c r="AP18" i="23"/>
  <c r="AP21" i="23"/>
  <c r="AP20" i="23"/>
  <c r="AV20" i="23"/>
  <c r="AV18" i="23"/>
  <c r="AV16" i="23"/>
  <c r="AU21" i="23"/>
  <c r="AT21" i="23"/>
  <c r="AV22" i="23"/>
  <c r="B108" i="21"/>
  <c r="B107" i="20"/>
  <c r="AO18" i="21"/>
  <c r="AK49" i="20"/>
  <c r="C14" i="22"/>
  <c r="AJ107" i="20"/>
  <c r="AL14" i="21"/>
  <c r="B45" i="22"/>
  <c r="AN16" i="21"/>
  <c r="AJ109" i="20"/>
  <c r="B18" i="22"/>
  <c r="AM78" i="20"/>
  <c r="AP16" i="22"/>
  <c r="AJ47" i="21"/>
  <c r="AN107" i="20"/>
  <c r="AJ16" i="22"/>
  <c r="AK47" i="20"/>
  <c r="AL47" i="21"/>
  <c r="AP45" i="20"/>
  <c r="B47" i="22"/>
  <c r="AK76" i="20"/>
  <c r="B74" i="21"/>
  <c r="AI76" i="20"/>
  <c r="AJ45" i="21"/>
  <c r="AP43" i="22"/>
  <c r="C111" i="20"/>
  <c r="C105" i="20"/>
  <c r="AM14" i="22"/>
  <c r="B74" i="20"/>
  <c r="AL43" i="22"/>
  <c r="B200" i="20"/>
  <c r="AL74" i="20"/>
  <c r="B16" i="22"/>
  <c r="AP12" i="21"/>
  <c r="AN78" i="20"/>
  <c r="AM18" i="21"/>
  <c r="B111" i="20"/>
  <c r="AP76" i="20"/>
  <c r="AJ16" i="21"/>
  <c r="AL12" i="21"/>
  <c r="B106" i="21"/>
  <c r="AN14" i="22"/>
  <c r="AP49" i="20"/>
  <c r="AI109" i="20"/>
  <c r="AI105" i="20"/>
  <c r="AJ105" i="20"/>
  <c r="AK14" i="21"/>
  <c r="AP12" i="22"/>
  <c r="AI18" i="22"/>
  <c r="AI47" i="20"/>
  <c r="B105" i="20"/>
  <c r="AP18" i="21"/>
  <c r="B12" i="22"/>
  <c r="AL47" i="22"/>
  <c r="AP45" i="22"/>
  <c r="AK80" i="20"/>
  <c r="AM14" i="21"/>
  <c r="B198" i="20"/>
  <c r="AK74" i="20"/>
  <c r="AM45" i="22"/>
  <c r="AK107" i="20"/>
  <c r="AL14" i="22"/>
  <c r="B47" i="20"/>
  <c r="AN14" i="21"/>
  <c r="B174" i="22"/>
  <c r="AK16" i="21"/>
  <c r="AK47" i="21"/>
  <c r="AO45" i="22"/>
  <c r="B138" i="22"/>
  <c r="AI45" i="20"/>
  <c r="B142" i="20"/>
  <c r="AK43" i="21"/>
  <c r="AI16" i="21"/>
  <c r="AM107" i="20"/>
  <c r="AJ14" i="22"/>
  <c r="B172" i="21"/>
  <c r="AP74" i="20"/>
  <c r="AO43" i="22"/>
  <c r="AO47" i="21"/>
  <c r="AJ76" i="20"/>
  <c r="AL12" i="22"/>
  <c r="AL107" i="20"/>
  <c r="AO74" i="20"/>
  <c r="AM12" i="22"/>
  <c r="AI45" i="22"/>
  <c r="AK12" i="21"/>
  <c r="AP80" i="20"/>
  <c r="AN16" i="22"/>
  <c r="AK43" i="22"/>
  <c r="AJ78" i="20"/>
  <c r="AI18" i="21"/>
  <c r="B176" i="22"/>
  <c r="B172" i="22"/>
  <c r="AN45" i="20"/>
  <c r="AO16" i="22"/>
  <c r="B20" i="22"/>
  <c r="B173" i="20"/>
  <c r="C45" i="20"/>
  <c r="B76" i="22"/>
  <c r="AL16" i="21"/>
  <c r="AN74" i="20"/>
  <c r="AN45" i="22"/>
  <c r="AP16" i="21"/>
  <c r="AP105" i="20"/>
  <c r="AI111" i="20"/>
  <c r="AO45" i="20"/>
  <c r="AJ12" i="21"/>
  <c r="C49" i="20"/>
  <c r="B43" i="22"/>
  <c r="AL105" i="20"/>
  <c r="AM76" i="20"/>
  <c r="AM49" i="20"/>
  <c r="AN12" i="22"/>
  <c r="AM47" i="22"/>
  <c r="B78" i="20"/>
  <c r="B80" i="20"/>
  <c r="AP111" i="20"/>
  <c r="AM43" i="22"/>
  <c r="B80" i="22"/>
  <c r="AK45" i="21"/>
  <c r="B144" i="21"/>
  <c r="AN18" i="22"/>
  <c r="AO47" i="20"/>
  <c r="AO45" i="21"/>
  <c r="AP45" i="21"/>
  <c r="B109" i="20"/>
  <c r="C12" i="22"/>
  <c r="B76" i="20"/>
  <c r="AI43" i="21"/>
  <c r="AO76" i="20"/>
  <c r="B170" i="21"/>
  <c r="B174" i="21"/>
  <c r="C107" i="20"/>
  <c r="AK105" i="20"/>
  <c r="AK109" i="20"/>
  <c r="AN47" i="22"/>
  <c r="AM18" i="22"/>
  <c r="B110" i="21"/>
  <c r="AM45" i="20"/>
  <c r="AO14" i="21"/>
  <c r="AP47" i="22"/>
  <c r="AJ43" i="21"/>
  <c r="AN109" i="20"/>
  <c r="B144" i="22"/>
  <c r="AI107" i="20"/>
  <c r="AI47" i="22"/>
  <c r="B14" i="22"/>
  <c r="AP109" i="20"/>
  <c r="AM80" i="20"/>
  <c r="AL18" i="22"/>
  <c r="AO107" i="20"/>
  <c r="AJ47" i="22"/>
  <c r="B142" i="21"/>
  <c r="AN76" i="20"/>
  <c r="AJ43" i="22"/>
  <c r="AK111" i="20"/>
  <c r="C16" i="22"/>
  <c r="AL49" i="20"/>
  <c r="AI45" i="21"/>
  <c r="AM45" i="21"/>
  <c r="AO105" i="20"/>
  <c r="AO18" i="22"/>
  <c r="AP78" i="20"/>
  <c r="AJ18" i="21"/>
  <c r="AM105" i="20"/>
  <c r="B106" i="22"/>
  <c r="AO78" i="20"/>
  <c r="AM12" i="21"/>
  <c r="AL111" i="20"/>
  <c r="AK78" i="20"/>
  <c r="B176" i="21"/>
  <c r="AM74" i="20"/>
  <c r="B171" i="20"/>
  <c r="AL47" i="20"/>
  <c r="B140" i="21"/>
  <c r="AL45" i="22"/>
  <c r="B144" i="20"/>
  <c r="AN49" i="20"/>
  <c r="AM111" i="20"/>
  <c r="B108" i="22"/>
  <c r="AN47" i="20"/>
  <c r="AL16" i="22"/>
  <c r="B140" i="22"/>
  <c r="AN80" i="20"/>
  <c r="AO14" i="22"/>
  <c r="AN43" i="22"/>
  <c r="B80" i="21"/>
  <c r="AP14" i="22"/>
  <c r="C45" i="22"/>
  <c r="B170" i="22"/>
  <c r="C47" i="20"/>
  <c r="B49" i="20"/>
  <c r="B20" i="21"/>
  <c r="B45" i="20"/>
  <c r="AK45" i="20"/>
  <c r="B76" i="21"/>
  <c r="AK18" i="21"/>
  <c r="C47" i="22"/>
  <c r="B167" i="20"/>
  <c r="AP47" i="20"/>
  <c r="AO12" i="21"/>
  <c r="B204" i="20"/>
  <c r="AM47" i="20"/>
  <c r="AP107" i="20"/>
  <c r="B202" i="20"/>
  <c r="AK18" i="22"/>
  <c r="AL18" i="21"/>
  <c r="AO109" i="20"/>
  <c r="B138" i="20"/>
  <c r="AJ45" i="20"/>
  <c r="AO43" i="21"/>
  <c r="AJ14" i="21"/>
  <c r="AP14" i="21"/>
  <c r="AN43" i="21"/>
  <c r="B78" i="22"/>
  <c r="AN111" i="20"/>
  <c r="AL45" i="21"/>
  <c r="AI47" i="21"/>
  <c r="AO16" i="21"/>
  <c r="AK47" i="22"/>
  <c r="AI12" i="21"/>
  <c r="AP47" i="21"/>
  <c r="B140" i="20"/>
  <c r="AI16" i="22"/>
  <c r="AJ45" i="22"/>
  <c r="AI80" i="20"/>
  <c r="B142" i="22"/>
  <c r="AJ18" i="22"/>
  <c r="AM16" i="22"/>
  <c r="AI43" i="22"/>
  <c r="AN12" i="21"/>
  <c r="AK12" i="22"/>
  <c r="AJ111" i="20"/>
  <c r="AK16" i="22"/>
  <c r="AP18" i="22"/>
  <c r="C109" i="20"/>
  <c r="AO12" i="22"/>
  <c r="AI74" i="20"/>
  <c r="AN45" i="21"/>
  <c r="AK45" i="22"/>
  <c r="B169" i="20"/>
  <c r="C80" i="20"/>
  <c r="AJ80" i="20"/>
  <c r="C78" i="20"/>
  <c r="AL43" i="21"/>
  <c r="B136" i="20"/>
  <c r="C74" i="20"/>
  <c r="B206" i="20"/>
  <c r="AJ49" i="20"/>
  <c r="C18" i="22"/>
  <c r="AL45" i="20"/>
  <c r="AI12" i="22"/>
  <c r="AI49" i="20"/>
  <c r="AM109" i="20"/>
  <c r="AK14" i="22"/>
  <c r="B78" i="21"/>
  <c r="AI78" i="20"/>
  <c r="AJ12" i="22"/>
  <c r="AO49" i="20"/>
  <c r="B74" i="22"/>
  <c r="C43" i="22"/>
  <c r="AP43" i="21"/>
  <c r="AO47" i="22"/>
  <c r="AM43" i="21"/>
  <c r="AM16" i="21"/>
  <c r="AI14" i="22"/>
  <c r="B138" i="21"/>
  <c r="AN47" i="21"/>
  <c r="B110" i="22"/>
  <c r="AN18" i="21"/>
  <c r="AJ47" i="20"/>
  <c r="AI14" i="21"/>
  <c r="B229" i="20"/>
  <c r="AN105" i="20"/>
  <c r="AL76" i="20"/>
  <c r="B231" i="20"/>
  <c r="AL109" i="20"/>
  <c r="AO111" i="20"/>
  <c r="C18" i="20"/>
  <c r="AL80" i="20"/>
  <c r="AO80" i="20"/>
  <c r="AL78" i="20"/>
  <c r="AJ74" i="20"/>
  <c r="C76" i="20"/>
  <c r="AM47" i="21"/>
  <c r="AS231" i="20" l="1"/>
  <c r="X231" i="20" s="1"/>
  <c r="AR231" i="20"/>
  <c r="J231" i="20" s="1"/>
  <c r="AI231" i="20"/>
  <c r="C231" i="20"/>
  <c r="AS229" i="20"/>
  <c r="X229" i="20" s="1"/>
  <c r="C229" i="20"/>
  <c r="AI229" i="20"/>
  <c r="AR229" i="20"/>
  <c r="J229" i="20" s="1"/>
  <c r="AS110" i="22"/>
  <c r="X110" i="22" s="1"/>
  <c r="C110" i="22"/>
  <c r="AI110" i="22"/>
  <c r="AR110" i="22"/>
  <c r="J110" i="22" s="1"/>
  <c r="AS138" i="21"/>
  <c r="X138" i="21" s="1"/>
  <c r="C138" i="21"/>
  <c r="AI138" i="21"/>
  <c r="AR138" i="21"/>
  <c r="J138" i="21" s="1"/>
  <c r="AR74" i="22"/>
  <c r="J74" i="22" s="1"/>
  <c r="C74" i="22"/>
  <c r="AI74" i="22"/>
  <c r="AS74" i="22"/>
  <c r="X74" i="22" s="1"/>
  <c r="AI78" i="21"/>
  <c r="AR78" i="21"/>
  <c r="J78" i="21" s="1"/>
  <c r="AS78" i="21"/>
  <c r="X78" i="21" s="1"/>
  <c r="C78" i="21"/>
  <c r="AS136" i="20"/>
  <c r="X136" i="20" s="1"/>
  <c r="AI136" i="20"/>
  <c r="AR136" i="20"/>
  <c r="J136" i="20" s="1"/>
  <c r="AR146" i="20"/>
  <c r="C136" i="20"/>
  <c r="C169" i="20"/>
  <c r="AS169" i="20"/>
  <c r="X169" i="20" s="1"/>
  <c r="T158" i="20" s="1"/>
  <c r="C52" i="16" s="1"/>
  <c r="AR169" i="20"/>
  <c r="J169" i="20" s="1"/>
  <c r="AI169" i="20"/>
  <c r="AR142" i="22"/>
  <c r="J142" i="22" s="1"/>
  <c r="C142" i="22"/>
  <c r="AS142" i="22"/>
  <c r="X142" i="22" s="1"/>
  <c r="AI142" i="22"/>
  <c r="AI140" i="20"/>
  <c r="AS140" i="20"/>
  <c r="X140" i="20" s="1"/>
  <c r="AR140" i="20"/>
  <c r="J140" i="20" s="1"/>
  <c r="C140" i="20"/>
  <c r="AI78" i="22"/>
  <c r="AR78" i="22"/>
  <c r="J78" i="22" s="1"/>
  <c r="C78" i="22"/>
  <c r="AS78" i="22"/>
  <c r="X78" i="22" s="1"/>
  <c r="C138" i="20"/>
  <c r="AS138" i="20"/>
  <c r="X138" i="20" s="1"/>
  <c r="AI138" i="20"/>
  <c r="AR138" i="20"/>
  <c r="J138" i="20" s="1"/>
  <c r="AR167" i="20"/>
  <c r="J167" i="20" s="1"/>
  <c r="AI167" i="20"/>
  <c r="C167" i="20"/>
  <c r="AS167" i="20"/>
  <c r="X167" i="20" s="1"/>
  <c r="AI76" i="21"/>
  <c r="AS76" i="21"/>
  <c r="X76" i="21" s="1"/>
  <c r="AR76" i="21"/>
  <c r="J76" i="21" s="1"/>
  <c r="C76" i="21"/>
  <c r="AS45" i="20"/>
  <c r="X45" i="20" s="1"/>
  <c r="AR45" i="20"/>
  <c r="J45" i="20" s="1"/>
  <c r="AR49" i="20"/>
  <c r="J49" i="20" s="1"/>
  <c r="AS49" i="20"/>
  <c r="X49" i="20" s="1"/>
  <c r="AI170" i="22"/>
  <c r="AS170" i="22"/>
  <c r="X170" i="22" s="1"/>
  <c r="C170" i="22"/>
  <c r="AR170" i="22"/>
  <c r="J170" i="22" s="1"/>
  <c r="AR80" i="21"/>
  <c r="J80" i="21" s="1"/>
  <c r="C80" i="21"/>
  <c r="AS80" i="21"/>
  <c r="X80" i="21" s="1"/>
  <c r="AI80" i="21"/>
  <c r="AI140" i="22"/>
  <c r="C140" i="22"/>
  <c r="AS140" i="22"/>
  <c r="X140" i="22" s="1"/>
  <c r="T129" i="22" s="1"/>
  <c r="O44" i="16" s="1"/>
  <c r="AR140" i="22"/>
  <c r="J140" i="22" s="1"/>
  <c r="AS108" i="22"/>
  <c r="X108" i="22" s="1"/>
  <c r="AI108" i="22"/>
  <c r="C108" i="22"/>
  <c r="AR108" i="22"/>
  <c r="J108" i="22" s="1"/>
  <c r="AI140" i="21"/>
  <c r="C140" i="21"/>
  <c r="AR140" i="21"/>
  <c r="J140" i="21" s="1"/>
  <c r="AS140" i="21"/>
  <c r="X140" i="21" s="1"/>
  <c r="AR171" i="20"/>
  <c r="J171" i="20" s="1"/>
  <c r="C171" i="20"/>
  <c r="AI171" i="20"/>
  <c r="AS171" i="20"/>
  <c r="X171" i="20" s="1"/>
  <c r="C106" i="22"/>
  <c r="AI106" i="22"/>
  <c r="AS106" i="22"/>
  <c r="X106" i="22" s="1"/>
  <c r="AR106" i="22"/>
  <c r="J106" i="22" s="1"/>
  <c r="AS142" i="21"/>
  <c r="X142" i="21" s="1"/>
  <c r="C142" i="21"/>
  <c r="AR142" i="21"/>
  <c r="J142" i="21" s="1"/>
  <c r="AI142" i="21"/>
  <c r="AR14" i="22"/>
  <c r="J14" i="22" s="1"/>
  <c r="AS14" i="22"/>
  <c r="X14" i="22" s="1"/>
  <c r="T3" i="22" s="1"/>
  <c r="AS144" i="22"/>
  <c r="X144" i="22" s="1"/>
  <c r="C144" i="22"/>
  <c r="AI144" i="22"/>
  <c r="AR144" i="22"/>
  <c r="J144" i="22" s="1"/>
  <c r="C110" i="21"/>
  <c r="AI110" i="21"/>
  <c r="AR110" i="21"/>
  <c r="J110" i="21" s="1"/>
  <c r="AS110" i="21"/>
  <c r="X110" i="21" s="1"/>
  <c r="C174" i="21"/>
  <c r="AS174" i="21"/>
  <c r="X174" i="21" s="1"/>
  <c r="AI174" i="21"/>
  <c r="AR174" i="21"/>
  <c r="J174" i="21" s="1"/>
  <c r="C170" i="21"/>
  <c r="AI170" i="21"/>
  <c r="AS170" i="21"/>
  <c r="X170" i="21" s="1"/>
  <c r="AR170" i="21"/>
  <c r="J170" i="21" s="1"/>
  <c r="AS76" i="20"/>
  <c r="X76" i="20" s="1"/>
  <c r="AR76" i="20"/>
  <c r="J76" i="20" s="1"/>
  <c r="AS109" i="20"/>
  <c r="X109" i="20" s="1"/>
  <c r="AR109" i="20"/>
  <c r="J109" i="20" s="1"/>
  <c r="AS144" i="21"/>
  <c r="X144" i="21" s="1"/>
  <c r="C144" i="21"/>
  <c r="AI144" i="21"/>
  <c r="AR144" i="21"/>
  <c r="J144" i="21" s="1"/>
  <c r="C80" i="22"/>
  <c r="AS80" i="22"/>
  <c r="X80" i="22" s="1"/>
  <c r="AR80" i="22"/>
  <c r="J80" i="22" s="1"/>
  <c r="AI80" i="22"/>
  <c r="AR80" i="20"/>
  <c r="J80" i="20" s="1"/>
  <c r="AS80" i="20"/>
  <c r="X80" i="20" s="1"/>
  <c r="AR78" i="20"/>
  <c r="J78" i="20" s="1"/>
  <c r="AS78" i="20"/>
  <c r="X78" i="20" s="1"/>
  <c r="AR43" i="22"/>
  <c r="J43" i="22" s="1"/>
  <c r="AS43" i="22"/>
  <c r="X43" i="22" s="1"/>
  <c r="AI76" i="22"/>
  <c r="C76" i="22"/>
  <c r="AR76" i="22"/>
  <c r="J76" i="22" s="1"/>
  <c r="AS76" i="22"/>
  <c r="X76" i="22" s="1"/>
  <c r="AR173" i="20"/>
  <c r="J173" i="20" s="1"/>
  <c r="AS173" i="20"/>
  <c r="X173" i="20" s="1"/>
  <c r="C173" i="20"/>
  <c r="AI173" i="20"/>
  <c r="AS172" i="22"/>
  <c r="X172" i="22" s="1"/>
  <c r="C172" i="22"/>
  <c r="AR172" i="22"/>
  <c r="J172" i="22" s="1"/>
  <c r="AI172" i="22"/>
  <c r="AR172" i="21"/>
  <c r="J172" i="21" s="1"/>
  <c r="T161" i="21" s="1"/>
  <c r="I52" i="16" s="1"/>
  <c r="AI172" i="21"/>
  <c r="AS172" i="21"/>
  <c r="X172" i="21" s="1"/>
  <c r="C172" i="21"/>
  <c r="AI142" i="20"/>
  <c r="C142" i="20"/>
  <c r="AR142" i="20"/>
  <c r="J142" i="20" s="1"/>
  <c r="AS142" i="20"/>
  <c r="X142" i="20" s="1"/>
  <c r="C138" i="22"/>
  <c r="AS138" i="22"/>
  <c r="X138" i="22" s="1"/>
  <c r="AI138" i="22"/>
  <c r="AR138" i="22"/>
  <c r="J138" i="22" s="1"/>
  <c r="AS174" i="22"/>
  <c r="X174" i="22" s="1"/>
  <c r="AR174" i="22"/>
  <c r="J174" i="22" s="1"/>
  <c r="AI174" i="22"/>
  <c r="C174" i="22"/>
  <c r="AR47" i="20"/>
  <c r="J47" i="20" s="1"/>
  <c r="AS47" i="20"/>
  <c r="X47" i="20" s="1"/>
  <c r="AS198" i="20"/>
  <c r="X198" i="20" s="1"/>
  <c r="AI198" i="20"/>
  <c r="AR198" i="20"/>
  <c r="J198" i="20" s="1"/>
  <c r="C198" i="20"/>
  <c r="AR12" i="22"/>
  <c r="J12" i="22" s="1"/>
  <c r="AS12" i="22"/>
  <c r="X12" i="22" s="1"/>
  <c r="AR105" i="20"/>
  <c r="J105" i="20" s="1"/>
  <c r="AS105" i="20"/>
  <c r="X105" i="20" s="1"/>
  <c r="AI106" i="21"/>
  <c r="AS106" i="21"/>
  <c r="X106" i="21" s="1"/>
  <c r="C106" i="21"/>
  <c r="AR106" i="21"/>
  <c r="J106" i="21" s="1"/>
  <c r="AR111" i="20"/>
  <c r="J111" i="20" s="1"/>
  <c r="AS111" i="20"/>
  <c r="X111" i="20" s="1"/>
  <c r="AR16" i="22"/>
  <c r="J16" i="22" s="1"/>
  <c r="AS16" i="22"/>
  <c r="X16" i="22" s="1"/>
  <c r="AI200" i="20"/>
  <c r="AR200" i="20"/>
  <c r="J200" i="20" s="1"/>
  <c r="T189" i="20" s="1"/>
  <c r="C62" i="16" s="1"/>
  <c r="AS200" i="20"/>
  <c r="X200" i="20" s="1"/>
  <c r="C200" i="20"/>
  <c r="AR74" i="20"/>
  <c r="J74" i="20" s="1"/>
  <c r="AS74" i="20"/>
  <c r="X74" i="20" s="1"/>
  <c r="AS74" i="21"/>
  <c r="X74" i="21" s="1"/>
  <c r="AR74" i="21"/>
  <c r="J74" i="21" s="1"/>
  <c r="C74" i="21"/>
  <c r="AI74" i="21"/>
  <c r="AR47" i="22"/>
  <c r="J47" i="22" s="1"/>
  <c r="AS47" i="22"/>
  <c r="X47" i="22" s="1"/>
  <c r="AR18" i="22"/>
  <c r="J18" i="22" s="1"/>
  <c r="AS18" i="22"/>
  <c r="X18" i="22" s="1"/>
  <c r="AS45" i="22"/>
  <c r="X45" i="22" s="1"/>
  <c r="AR45" i="22"/>
  <c r="J45" i="22" s="1"/>
  <c r="AS107" i="20"/>
  <c r="X107" i="20" s="1"/>
  <c r="AR107" i="20"/>
  <c r="J107" i="20" s="1"/>
  <c r="AR108" i="21"/>
  <c r="J108" i="21" s="1"/>
  <c r="C108" i="21"/>
  <c r="AI108" i="21"/>
  <c r="AS108" i="21"/>
  <c r="X108" i="21" s="1"/>
  <c r="AV21" i="23"/>
  <c r="AR20" i="23" s="1"/>
  <c r="AR4" i="23" l="1"/>
  <c r="AR16" i="23"/>
  <c r="AR18" i="23"/>
  <c r="AR33" i="23"/>
  <c r="AR10" i="23"/>
  <c r="AR22" i="23"/>
  <c r="AR11" i="23"/>
  <c r="AR6" i="23"/>
  <c r="AR32" i="23"/>
  <c r="AR17" i="23"/>
  <c r="AR8" i="23"/>
  <c r="AR5" i="23"/>
  <c r="AR19" i="23"/>
  <c r="AR29" i="23"/>
  <c r="AR9" i="23"/>
  <c r="AR28" i="23"/>
  <c r="AR21" i="23"/>
  <c r="AR7" i="23"/>
  <c r="AR31" i="23"/>
  <c r="AR34" i="23"/>
  <c r="AR30" i="23"/>
</calcChain>
</file>

<file path=xl/sharedStrings.xml><?xml version="1.0" encoding="utf-8"?>
<sst xmlns="http://schemas.openxmlformats.org/spreadsheetml/2006/main" count="1324" uniqueCount="258">
  <si>
    <t>会場担当</t>
  </si>
  <si>
    <t>会場</t>
  </si>
  <si>
    <t>開催日</t>
  </si>
  <si>
    <t>試合開始</t>
  </si>
  <si>
    <t>監督サイン</t>
  </si>
  <si>
    <t>チーム名</t>
  </si>
  <si>
    <t>得点</t>
  </si>
  <si>
    <t>主審／副審／副審／４審</t>
  </si>
  <si>
    <t>－</t>
  </si>
  <si>
    <t>警告／退場</t>
  </si>
  <si>
    <t>氏名</t>
  </si>
  <si>
    <t>番号</t>
  </si>
  <si>
    <t>理由</t>
  </si>
  <si>
    <t>警告　　退場</t>
  </si>
  <si>
    <t>勝ち点</t>
  </si>
  <si>
    <t>試合数</t>
  </si>
  <si>
    <t>得失差</t>
  </si>
  <si>
    <t>勝ち点率</t>
  </si>
  <si>
    <t>-</t>
  </si>
  <si>
    <t>得失差、得点を考慮する場合の順位算出式</t>
  </si>
  <si>
    <t>=F6+G6*0.0001+H6*0.000001</t>
  </si>
  <si>
    <t>順位 ＝（ 勝ち点率 ＋ 得失差×0.0001 ＋ 得点×0.000001　）　の降順　　　※勝ち点率＝勝ち点÷（試合数×３）</t>
  </si>
  <si>
    <t>順位 ＝ 勝ち点率の降順　　　※勝ち点率＝勝ち点÷（試合数×３）</t>
  </si>
  <si>
    <t>チーム</t>
  </si>
  <si>
    <t>順位</t>
  </si>
  <si>
    <t>Ａ ブロック</t>
    <phoneticPr fontId="17"/>
  </si>
  <si>
    <t>Ｂ ブロック</t>
    <phoneticPr fontId="17"/>
  </si>
  <si>
    <t>Ｃ ブロック</t>
    <phoneticPr fontId="17"/>
  </si>
  <si>
    <t>備　考</t>
    <rPh sb="0" eb="1">
      <t>ビ</t>
    </rPh>
    <rPh sb="2" eb="3">
      <t>コウ</t>
    </rPh>
    <phoneticPr fontId="17"/>
  </si>
  <si>
    <t>１節</t>
    <phoneticPr fontId="16"/>
  </si>
  <si>
    <t>日</t>
    <rPh sb="0" eb="1">
      <t>ニチ</t>
    </rPh>
    <phoneticPr fontId="17"/>
  </si>
  <si>
    <t>２節</t>
    <phoneticPr fontId="16"/>
  </si>
  <si>
    <t>土</t>
    <rPh sb="0" eb="1">
      <t>ド</t>
    </rPh>
    <phoneticPr fontId="17"/>
  </si>
  <si>
    <t>３節</t>
    <phoneticPr fontId="16"/>
  </si>
  <si>
    <t>４節</t>
    <phoneticPr fontId="16"/>
  </si>
  <si>
    <t>ブロック</t>
    <phoneticPr fontId="16"/>
  </si>
  <si>
    <t>会　場</t>
    <rPh sb="0" eb="1">
      <t>カイ</t>
    </rPh>
    <rPh sb="2" eb="3">
      <t>バ</t>
    </rPh>
    <phoneticPr fontId="16"/>
  </si>
  <si>
    <t>会場担当</t>
    <rPh sb="0" eb="2">
      <t>カイジョウ</t>
    </rPh>
    <rPh sb="2" eb="4">
      <t>タントウ</t>
    </rPh>
    <phoneticPr fontId="16"/>
  </si>
  <si>
    <t>ＪＦＡ　U-12サッカーリーグ2019（in栃木） 宇河地域リーグ戦（後期）</t>
    <phoneticPr fontId="16"/>
  </si>
  <si>
    <t>順位表　（７/６  最終節終了時）</t>
    <rPh sb="10" eb="12">
      <t>サイシュウ</t>
    </rPh>
    <phoneticPr fontId="16"/>
  </si>
  <si>
    <t>スコア</t>
    <phoneticPr fontId="16"/>
  </si>
  <si>
    <t>-</t>
    <phoneticPr fontId="16"/>
  </si>
  <si>
    <t>２節</t>
    <rPh sb="1" eb="2">
      <t>セツ</t>
    </rPh>
    <phoneticPr fontId="17"/>
  </si>
  <si>
    <t>１節</t>
    <rPh sb="1" eb="2">
      <t>セツ</t>
    </rPh>
    <phoneticPr fontId="17"/>
  </si>
  <si>
    <t>10</t>
    <phoneticPr fontId="21"/>
  </si>
  <si>
    <t>複数ｴﾝﾄﾘｰ
チーム</t>
    <phoneticPr fontId="16"/>
  </si>
  <si>
    <t>シード２</t>
    <phoneticPr fontId="16"/>
  </si>
  <si>
    <t>シード１</t>
    <phoneticPr fontId="16"/>
  </si>
  <si>
    <t>会場チーム</t>
    <rPh sb="0" eb="2">
      <t>カイジョウ</t>
    </rPh>
    <phoneticPr fontId="17"/>
  </si>
  <si>
    <t>ﾌﾞﾛｯｸ責任者チーム</t>
    <rPh sb="5" eb="8">
      <t>セキニンシャ</t>
    </rPh>
    <phoneticPr fontId="17"/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</si>
  <si>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17"/>
  </si>
  <si>
    <t>【　第１節　】</t>
  </si>
  <si>
    <t>【　第２節　】</t>
    <phoneticPr fontId="16"/>
  </si>
  <si>
    <t>ブロック</t>
  </si>
  <si>
    <t>会　場</t>
  </si>
  <si>
    <t>【　第３節　】</t>
    <phoneticPr fontId="16"/>
  </si>
  <si>
    <t>【　第４節　】</t>
    <phoneticPr fontId="16"/>
  </si>
  <si>
    <t>予
備
日</t>
    <rPh sb="0" eb="1">
      <t>ヨ</t>
    </rPh>
    <rPh sb="2" eb="3">
      <t>ビ</t>
    </rPh>
    <rPh sb="4" eb="5">
      <t>ニチ</t>
    </rPh>
    <phoneticPr fontId="16"/>
  </si>
  <si>
    <t>（8チーム）</t>
    <phoneticPr fontId="17"/>
  </si>
  <si>
    <t>（7チーム）</t>
    <phoneticPr fontId="17"/>
  </si>
  <si>
    <t>②</t>
  </si>
  <si>
    <t>②</t>
    <phoneticPr fontId="16"/>
  </si>
  <si>
    <t>③</t>
  </si>
  <si>
    <t>③</t>
    <phoneticPr fontId="16"/>
  </si>
  <si>
    <t>④</t>
  </si>
  <si>
    <t>④</t>
    <phoneticPr fontId="16"/>
  </si>
  <si>
    <t>A1234</t>
    <phoneticPr fontId="20"/>
  </si>
  <si>
    <t>A5678</t>
    <phoneticPr fontId="20"/>
  </si>
  <si>
    <t>B1234</t>
    <phoneticPr fontId="20"/>
  </si>
  <si>
    <t>B567</t>
    <phoneticPr fontId="20"/>
  </si>
  <si>
    <t>C1234</t>
    <phoneticPr fontId="20"/>
  </si>
  <si>
    <t>C567</t>
    <phoneticPr fontId="20"/>
  </si>
  <si>
    <t>A1358</t>
    <phoneticPr fontId="20"/>
  </si>
  <si>
    <t>A2467</t>
    <phoneticPr fontId="20"/>
  </si>
  <si>
    <t>A1278</t>
  </si>
  <si>
    <t>A1278</t>
    <phoneticPr fontId="20"/>
  </si>
  <si>
    <t>A3456</t>
  </si>
  <si>
    <t>A3456</t>
    <phoneticPr fontId="20"/>
  </si>
  <si>
    <t>A1256</t>
  </si>
  <si>
    <t>A1256</t>
    <phoneticPr fontId="20"/>
  </si>
  <si>
    <t>A3478</t>
  </si>
  <si>
    <t>A3478</t>
    <phoneticPr fontId="20"/>
  </si>
  <si>
    <t>B2456</t>
    <phoneticPr fontId="20"/>
  </si>
  <si>
    <t>B137</t>
    <phoneticPr fontId="20"/>
  </si>
  <si>
    <t>B1356</t>
    <phoneticPr fontId="20"/>
  </si>
  <si>
    <t>B247</t>
    <phoneticPr fontId="20"/>
  </si>
  <si>
    <t>C2456</t>
    <phoneticPr fontId="20"/>
  </si>
  <si>
    <t>C137</t>
    <phoneticPr fontId="20"/>
  </si>
  <si>
    <t>C1356</t>
    <phoneticPr fontId="20"/>
  </si>
  <si>
    <t>C246</t>
    <phoneticPr fontId="20"/>
  </si>
  <si>
    <t>3/4/4/3</t>
    <phoneticPr fontId="16"/>
  </si>
  <si>
    <t>1/2/2/1</t>
    <phoneticPr fontId="16"/>
  </si>
  <si>
    <t>4/1/1/4</t>
    <phoneticPr fontId="16"/>
  </si>
  <si>
    <t>2/3/3/2</t>
    <phoneticPr fontId="16"/>
  </si>
  <si>
    <t>7/8/8/7</t>
    <phoneticPr fontId="16"/>
  </si>
  <si>
    <t>6/5/5/6</t>
    <phoneticPr fontId="16"/>
  </si>
  <si>
    <t>5/7/7/5</t>
    <phoneticPr fontId="16"/>
  </si>
  <si>
    <t>8/5/5/8</t>
    <phoneticPr fontId="16"/>
  </si>
  <si>
    <t>3/8/8/3</t>
    <phoneticPr fontId="16"/>
  </si>
  <si>
    <t>5/1/1/5</t>
    <phoneticPr fontId="16"/>
  </si>
  <si>
    <t>7/6/6/7</t>
    <phoneticPr fontId="16"/>
  </si>
  <si>
    <t>2/4/4/2</t>
    <phoneticPr fontId="16"/>
  </si>
  <si>
    <t>4/7/7/4</t>
    <phoneticPr fontId="16"/>
  </si>
  <si>
    <t>6/2/2/6</t>
    <phoneticPr fontId="16"/>
  </si>
  <si>
    <t>2/8/8/2</t>
    <phoneticPr fontId="16"/>
  </si>
  <si>
    <t>1/7/7/1</t>
    <phoneticPr fontId="16"/>
  </si>
  <si>
    <t>8/1/1/8</t>
    <phoneticPr fontId="16"/>
  </si>
  <si>
    <t>7/2/2/7</t>
    <phoneticPr fontId="16"/>
  </si>
  <si>
    <t>2/5/5/2</t>
  </si>
  <si>
    <t>2/5/5/2</t>
    <phoneticPr fontId="16"/>
  </si>
  <si>
    <t>1/6/6/1</t>
  </si>
  <si>
    <t>1/6/6/1</t>
    <phoneticPr fontId="16"/>
  </si>
  <si>
    <t>-</t>
    <phoneticPr fontId="16"/>
  </si>
  <si>
    <t>8/1/6/8</t>
  </si>
  <si>
    <t>1/6/8/1</t>
  </si>
  <si>
    <t>6/8/1/6</t>
  </si>
  <si>
    <t>9/2/4/9</t>
  </si>
  <si>
    <t>2/4/9/2</t>
  </si>
  <si>
    <t>4/9/2/4</t>
  </si>
  <si>
    <t>4/6/6/4</t>
    <phoneticPr fontId="16"/>
  </si>
  <si>
    <t>3/5/5/3</t>
    <phoneticPr fontId="16"/>
  </si>
  <si>
    <t>6/3/3/6</t>
    <phoneticPr fontId="16"/>
  </si>
  <si>
    <t>5/4/4/5</t>
    <phoneticPr fontId="16"/>
  </si>
  <si>
    <t>4/8/8/4</t>
    <phoneticPr fontId="16"/>
  </si>
  <si>
    <t>3/7/7/3</t>
    <phoneticPr fontId="16"/>
  </si>
  <si>
    <t>7/5/6/7</t>
    <phoneticPr fontId="16"/>
  </si>
  <si>
    <t>5/6/7/5</t>
    <phoneticPr fontId="16"/>
  </si>
  <si>
    <t>6/7/5/6</t>
    <phoneticPr fontId="16"/>
  </si>
  <si>
    <t>4/5/5/4</t>
    <phoneticPr fontId="16"/>
  </si>
  <si>
    <t>2/6/6/2</t>
    <phoneticPr fontId="16"/>
  </si>
  <si>
    <t>6/4/4/6</t>
    <phoneticPr fontId="16"/>
  </si>
  <si>
    <t>5/2/2/5</t>
    <phoneticPr fontId="16"/>
  </si>
  <si>
    <t>7/1/3/7</t>
    <phoneticPr fontId="16"/>
  </si>
  <si>
    <t>1/3/7/1</t>
    <phoneticPr fontId="16"/>
  </si>
  <si>
    <t>3/7/1/3</t>
    <phoneticPr fontId="16"/>
  </si>
  <si>
    <t>3/6/6/3</t>
    <phoneticPr fontId="16"/>
  </si>
  <si>
    <t>1/5/5/1</t>
    <phoneticPr fontId="16"/>
  </si>
  <si>
    <t>6/1/1/6</t>
    <phoneticPr fontId="16"/>
  </si>
  <si>
    <t>5/3/3/5</t>
    <phoneticPr fontId="16"/>
  </si>
  <si>
    <t>2/4/7/2</t>
    <phoneticPr fontId="16"/>
  </si>
  <si>
    <t>7/2/4/7</t>
    <phoneticPr fontId="16"/>
  </si>
  <si>
    <t>4/7/2/4</t>
    <phoneticPr fontId="16"/>
  </si>
  <si>
    <t>ＪＦＡ　Ｕ-１０サッカーリーグ2021（in栃木） 宇都宮地区リーグ戦（前期）</t>
    <rPh sb="26" eb="29">
      <t>ウツノミヤ</t>
    </rPh>
    <rPh sb="29" eb="31">
      <t>チク</t>
    </rPh>
    <rPh sb="36" eb="38">
      <t>ゼンキ</t>
    </rPh>
    <phoneticPr fontId="17"/>
  </si>
  <si>
    <t>ＪＦＡ　U-１０サッカーリーグ2021（in栃木） 宇河地域リーグ戦（前期）</t>
    <rPh sb="35" eb="36">
      <t>マエ</t>
    </rPh>
    <phoneticPr fontId="16"/>
  </si>
  <si>
    <t>Aブロック
運営責任者</t>
    <rPh sb="6" eb="11">
      <t>ウンエイセキニンシャ</t>
    </rPh>
    <phoneticPr fontId="16"/>
  </si>
  <si>
    <t>Bブロック
運営責任者</t>
    <rPh sb="6" eb="11">
      <t>ウンエイセキニンシャ</t>
    </rPh>
    <phoneticPr fontId="16"/>
  </si>
  <si>
    <t>Cブロック
運営責任者</t>
    <rPh sb="6" eb="11">
      <t>ウンエイセキニンシャ</t>
    </rPh>
    <phoneticPr fontId="16"/>
  </si>
  <si>
    <t>連絡先</t>
    <rPh sb="0" eb="3">
      <t>レンラクサキ</t>
    </rPh>
    <phoneticPr fontId="16"/>
  </si>
  <si>
    <t>〒321-3223
　宇都宮市清原台5-20-28
starboad@fantasy.plala.or.jp</t>
    <phoneticPr fontId="16"/>
  </si>
  <si>
    <t>〒320-0835
宇都宮市宮原3-1-13
padre1348-referee@yahoo.co.jp</t>
    <phoneticPr fontId="16"/>
  </si>
  <si>
    <t>０８０－６８１４－０２６4</t>
    <phoneticPr fontId="16"/>
  </si>
  <si>
    <t>０８０－３４５６－３４１８</t>
    <phoneticPr fontId="16"/>
  </si>
  <si>
    <t>富士見SSS</t>
    <rPh sb="0" eb="3">
      <t>フジミ</t>
    </rPh>
    <phoneticPr fontId="16"/>
  </si>
  <si>
    <t>宝木キッカーズ</t>
    <rPh sb="0" eb="2">
      <t>タカラギ</t>
    </rPh>
    <phoneticPr fontId="16"/>
  </si>
  <si>
    <t>宇大付属小SSS　U-10</t>
    <rPh sb="0" eb="2">
      <t>ウダイ</t>
    </rPh>
    <rPh sb="2" eb="5">
      <t>フゾクショウ</t>
    </rPh>
    <phoneticPr fontId="16"/>
  </si>
  <si>
    <t>栃木SC　U-10</t>
    <rPh sb="0" eb="2">
      <t>トチギ</t>
    </rPh>
    <phoneticPr fontId="16"/>
  </si>
  <si>
    <t>石井FC</t>
    <rPh sb="0" eb="2">
      <t>イシイ</t>
    </rPh>
    <phoneticPr fontId="16"/>
  </si>
  <si>
    <t>豊郷JFC宇都宮U-10</t>
    <rPh sb="0" eb="2">
      <t>トヨサト</t>
    </rPh>
    <rPh sb="5" eb="8">
      <t>ウツノミヤ</t>
    </rPh>
    <phoneticPr fontId="16"/>
  </si>
  <si>
    <t>清原シザース</t>
    <rPh sb="0" eb="2">
      <t>キヨハラ</t>
    </rPh>
    <phoneticPr fontId="16"/>
  </si>
  <si>
    <t>FCアネーロ・U-10</t>
  </si>
  <si>
    <t>緑ヶ丘YFC</t>
    <rPh sb="0" eb="3">
      <t>ミドリガオカ</t>
    </rPh>
    <phoneticPr fontId="16"/>
  </si>
  <si>
    <t>サウス宇都宮SC</t>
    <rPh sb="3" eb="6">
      <t>ウツノミヤ</t>
    </rPh>
    <phoneticPr fontId="16"/>
  </si>
  <si>
    <t>SUGAO・SC</t>
  </si>
  <si>
    <t>カテット白沢</t>
    <rPh sb="4" eb="6">
      <t>シラサワ</t>
    </rPh>
    <phoneticPr fontId="16"/>
  </si>
  <si>
    <t>ともぞうSC U10</t>
  </si>
  <si>
    <t>スポルト宇都宮U10</t>
    <rPh sb="4" eb="7">
      <t>ウツノミヤ</t>
    </rPh>
    <phoneticPr fontId="16"/>
  </si>
  <si>
    <t>FC みらい</t>
  </si>
  <si>
    <t>上河内JSC</t>
    <rPh sb="0" eb="3">
      <t>カミカワチ</t>
    </rPh>
    <phoneticPr fontId="16"/>
  </si>
  <si>
    <t>FCアリーバ</t>
  </si>
  <si>
    <t>FC　Riso</t>
  </si>
  <si>
    <t>FC グランディール</t>
  </si>
  <si>
    <t>清原南小</t>
    <rPh sb="0" eb="2">
      <t>キヨハラ</t>
    </rPh>
    <rPh sb="2" eb="4">
      <t>ミナミショウ</t>
    </rPh>
    <phoneticPr fontId="16"/>
  </si>
  <si>
    <t>石井 6 AM</t>
    <rPh sb="0" eb="2">
      <t>イシイ</t>
    </rPh>
    <phoneticPr fontId="16"/>
  </si>
  <si>
    <t>陽南小</t>
    <rPh sb="0" eb="3">
      <t>ヨウナンショウ</t>
    </rPh>
    <phoneticPr fontId="16"/>
  </si>
  <si>
    <t>上河内西小</t>
    <rPh sb="0" eb="3">
      <t>カミコウチ</t>
    </rPh>
    <rPh sb="3" eb="4">
      <t>ニシ</t>
    </rPh>
    <rPh sb="4" eb="5">
      <t>ショウ</t>
    </rPh>
    <phoneticPr fontId="16"/>
  </si>
  <si>
    <t>石井 6 PM</t>
    <phoneticPr fontId="16"/>
  </si>
  <si>
    <t>姿川中央小</t>
    <rPh sb="0" eb="2">
      <t>スガタガワ</t>
    </rPh>
    <rPh sb="2" eb="4">
      <t>チュウオウ</t>
    </rPh>
    <rPh sb="4" eb="5">
      <t>ショウ</t>
    </rPh>
    <phoneticPr fontId="20"/>
  </si>
  <si>
    <t>8/6/6/8</t>
    <phoneticPr fontId="16"/>
  </si>
  <si>
    <t>ＪＦＡ　U-10サッカーリーグ2021（in栃木） 宇河地区リーグ戦（後期）【Ａブロック　第１節】　　2/2</t>
    <rPh sb="28" eb="30">
      <t>チク</t>
    </rPh>
    <rPh sb="35" eb="36">
      <t>アト</t>
    </rPh>
    <phoneticPr fontId="16"/>
  </si>
  <si>
    <t>ＪＦＡ　U-10サッカーリーグ2021（in栃木） 宇河地区リーグ戦（後期）【Cブロック　第１節】　　1/2</t>
    <phoneticPr fontId="16"/>
  </si>
  <si>
    <t>S4スぺランツァ</t>
    <phoneticPr fontId="16"/>
  </si>
  <si>
    <t>【監督会議　８：２０～】　【試合時間　１５分-５分-１５分】</t>
    <rPh sb="1" eb="3">
      <t>カントク</t>
    </rPh>
    <rPh sb="3" eb="5">
      <t>カイギ</t>
    </rPh>
    <phoneticPr fontId="16"/>
  </si>
  <si>
    <t>⑤</t>
    <phoneticPr fontId="16"/>
  </si>
  <si>
    <t>⑥</t>
    <phoneticPr fontId="16"/>
  </si>
  <si>
    <t>⑦</t>
    <phoneticPr fontId="16"/>
  </si>
  <si>
    <t>ＪＦＡ　U-10サッカーリーグ2021（in栃木） 宇河地区リーグ戦（後期）【Cブロック　第１節】　　2/2</t>
    <rPh sb="28" eb="30">
      <t>チク</t>
    </rPh>
    <rPh sb="35" eb="36">
      <t>アト</t>
    </rPh>
    <phoneticPr fontId="16"/>
  </si>
  <si>
    <t>【監督会議　１２：５０～】　【試合時間　１５分-５分-１５分】</t>
    <rPh sb="1" eb="3">
      <t>カントク</t>
    </rPh>
    <rPh sb="3" eb="5">
      <t>カイギ</t>
    </rPh>
    <phoneticPr fontId="16"/>
  </si>
  <si>
    <t>０９０－４２４０－２８１３</t>
    <phoneticPr fontId="16"/>
  </si>
  <si>
    <t xml:space="preserve"> 〒321-0151
 宇都宮市西川田町880-87
rtb32524＠nifty.com</t>
    <phoneticPr fontId="16"/>
  </si>
  <si>
    <r>
      <t xml:space="preserve">杉山 峰夫
</t>
    </r>
    <r>
      <rPr>
        <sz val="9"/>
        <rFont val="AR丸ゴシック体M"/>
        <family val="3"/>
        <charset val="128"/>
      </rPr>
      <t>（宇）少年サッカー連盟
　競技運営委員・審判委員長）</t>
    </r>
    <rPh sb="26" eb="31">
      <t>シンパンイインチョウ</t>
    </rPh>
    <phoneticPr fontId="16"/>
  </si>
  <si>
    <r>
      <t xml:space="preserve">大西　健二
</t>
    </r>
    <r>
      <rPr>
        <sz val="9"/>
        <rFont val="ＭＳ Ｐゴシック"/>
        <family val="3"/>
        <charset val="128"/>
      </rPr>
      <t>(宇)少年サッカー連盟競技運営委員
地域リーグ戦運営副委員長
・東部地区副代表）</t>
    </r>
    <rPh sb="0" eb="2">
      <t>オオニシ</t>
    </rPh>
    <rPh sb="3" eb="5">
      <t>ケンジ</t>
    </rPh>
    <rPh sb="24" eb="26">
      <t>チイキ</t>
    </rPh>
    <rPh sb="29" eb="30">
      <t>セン</t>
    </rPh>
    <rPh sb="30" eb="32">
      <t>ウンエイ</t>
    </rPh>
    <rPh sb="32" eb="33">
      <t>フク</t>
    </rPh>
    <rPh sb="33" eb="36">
      <t>イインチョウ</t>
    </rPh>
    <rPh sb="38" eb="42">
      <t>トウブチク</t>
    </rPh>
    <rPh sb="42" eb="45">
      <t>フクダイヒョウ</t>
    </rPh>
    <phoneticPr fontId="16"/>
  </si>
  <si>
    <r>
      <rPr>
        <sz val="12"/>
        <rFont val="AR丸ゴシック体M"/>
        <family val="3"/>
        <charset val="128"/>
      </rPr>
      <t>千葉悦弘</t>
    </r>
    <r>
      <rPr>
        <sz val="10"/>
        <rFont val="AR丸ゴシック体M"/>
        <family val="3"/>
        <charset val="128"/>
      </rPr>
      <t xml:space="preserve">
</t>
    </r>
    <r>
      <rPr>
        <sz val="9"/>
        <rFont val="AR丸ゴシック体M"/>
        <family val="3"/>
        <charset val="128"/>
      </rPr>
      <t>（宇)少年サッカー連盟
競技運営委員会副委員長
・西部地区代表）</t>
    </r>
    <phoneticPr fontId="16"/>
  </si>
  <si>
    <t>unionscU10</t>
    <phoneticPr fontId="16"/>
  </si>
  <si>
    <t>ISOSC</t>
    <phoneticPr fontId="16"/>
  </si>
  <si>
    <t>1/3/3/1</t>
    <phoneticPr fontId="16"/>
  </si>
  <si>
    <t>1/2</t>
    <phoneticPr fontId="16"/>
  </si>
  <si>
    <t>2/2</t>
    <phoneticPr fontId="16"/>
  </si>
  <si>
    <t>GP白沢 北 AM</t>
    <rPh sb="2" eb="4">
      <t>シラサワ</t>
    </rPh>
    <rPh sb="5" eb="6">
      <t>キタ</t>
    </rPh>
    <phoneticPr fontId="16"/>
  </si>
  <si>
    <t>GP白沢 南 AM</t>
    <rPh sb="2" eb="4">
      <t>シラサワ</t>
    </rPh>
    <rPh sb="5" eb="6">
      <t>ミナミ</t>
    </rPh>
    <phoneticPr fontId="16"/>
  </si>
  <si>
    <t>石井 3 AM</t>
    <rPh sb="0" eb="2">
      <t>イシイ</t>
    </rPh>
    <phoneticPr fontId="16"/>
  </si>
  <si>
    <t>石井 3 PM</t>
    <phoneticPr fontId="16"/>
  </si>
  <si>
    <t>石井 1 AM</t>
    <rPh sb="0" eb="2">
      <t>イシイ</t>
    </rPh>
    <phoneticPr fontId="16"/>
  </si>
  <si>
    <t>前期A</t>
    <rPh sb="0" eb="2">
      <t>ゼンキ</t>
    </rPh>
    <phoneticPr fontId="17"/>
  </si>
  <si>
    <t>勝点</t>
    <phoneticPr fontId="17"/>
  </si>
  <si>
    <t>勝ち</t>
  </si>
  <si>
    <t>負け</t>
  </si>
  <si>
    <t>分</t>
  </si>
  <si>
    <t>得失点</t>
  </si>
  <si>
    <t>総得点</t>
    <rPh sb="0" eb="3">
      <t>ソウトクテン</t>
    </rPh>
    <phoneticPr fontId="17"/>
  </si>
  <si>
    <t>-</t>
    <phoneticPr fontId="17"/>
  </si>
  <si>
    <t>前期B</t>
    <rPh sb="0" eb="2">
      <t>ゼンキ</t>
    </rPh>
    <phoneticPr fontId="17"/>
  </si>
  <si>
    <t>1a</t>
    <phoneticPr fontId="16"/>
  </si>
  <si>
    <t>1b</t>
    <phoneticPr fontId="16"/>
  </si>
  <si>
    <t>2a</t>
    <phoneticPr fontId="16"/>
  </si>
  <si>
    <t>2b</t>
    <phoneticPr fontId="16"/>
  </si>
  <si>
    <t>3a</t>
    <phoneticPr fontId="16"/>
  </si>
  <si>
    <t>3b</t>
    <phoneticPr fontId="16"/>
  </si>
  <si>
    <t>4a</t>
    <phoneticPr fontId="16"/>
  </si>
  <si>
    <t>4b</t>
    <phoneticPr fontId="16"/>
  </si>
  <si>
    <t>ﾌﾞﾛｯｸ内順位</t>
    <rPh sb="5" eb="6">
      <t>ナイ</t>
    </rPh>
    <rPh sb="6" eb="8">
      <t>ジュンイ</t>
    </rPh>
    <phoneticPr fontId="17"/>
  </si>
  <si>
    <t>勝ち点率</t>
    <rPh sb="0" eb="1">
      <t>カ</t>
    </rPh>
    <rPh sb="2" eb="4">
      <t>テンリツ</t>
    </rPh>
    <phoneticPr fontId="16"/>
  </si>
  <si>
    <t>得失点率</t>
    <rPh sb="0" eb="4">
      <t>トクシッテンリツ</t>
    </rPh>
    <phoneticPr fontId="16"/>
  </si>
  <si>
    <t>得点率</t>
    <rPh sb="0" eb="2">
      <t>トクテン</t>
    </rPh>
    <rPh sb="2" eb="3">
      <t>リツ</t>
    </rPh>
    <phoneticPr fontId="16"/>
  </si>
  <si>
    <t>ＪＦＡ　U-10サッカーリーグ2021（in栃木） 宇河地域リーグ戦（前期）　Ｂ ブロック星取表</t>
    <phoneticPr fontId="17"/>
  </si>
  <si>
    <t>ＪＦＡ　U-10サッカーリーグ2021（in栃木） 宇河地域リーグ戦（前期）　Ａ ブロック星取表</t>
    <rPh sb="35" eb="37">
      <t>ゼンキ</t>
    </rPh>
    <phoneticPr fontId="17"/>
  </si>
  <si>
    <t>ＪＦＡ　U-10サッカーリーグ2021（in栃木） 宇河地域リーグ戦（前期）　Ｃ ブロック星取表</t>
    <phoneticPr fontId="17"/>
  </si>
  <si>
    <t>前期C</t>
    <rPh sb="0" eb="2">
      <t>ゼンキ</t>
    </rPh>
    <phoneticPr fontId="17"/>
  </si>
  <si>
    <t>①</t>
    <phoneticPr fontId="16"/>
  </si>
  <si>
    <t>②</t>
    <phoneticPr fontId="16"/>
  </si>
  <si>
    <t>③</t>
    <phoneticPr fontId="16"/>
  </si>
  <si>
    <t>④</t>
    <phoneticPr fontId="16"/>
  </si>
  <si>
    <t>⑤</t>
    <phoneticPr fontId="16"/>
  </si>
  <si>
    <t>⑥</t>
    <phoneticPr fontId="16"/>
  </si>
  <si>
    <t>⑦</t>
    <phoneticPr fontId="16"/>
  </si>
  <si>
    <t>⑧</t>
    <phoneticPr fontId="16"/>
  </si>
  <si>
    <t>AM開始時間</t>
    <rPh sb="2" eb="6">
      <t>カイシジカン</t>
    </rPh>
    <phoneticPr fontId="16"/>
  </si>
  <si>
    <t>PM開始時間</t>
    <rPh sb="2" eb="4">
      <t>カイシ</t>
    </rPh>
    <rPh sb="4" eb="6">
      <t>ジカン</t>
    </rPh>
    <phoneticPr fontId="16"/>
  </si>
  <si>
    <t>AMのみの開始時間</t>
    <rPh sb="5" eb="9">
      <t>カイシジカン</t>
    </rPh>
    <phoneticPr fontId="16"/>
  </si>
  <si>
    <t>（入れ替えあり）</t>
    <rPh sb="1" eb="2">
      <t>イ</t>
    </rPh>
    <rPh sb="3" eb="4">
      <t>カ</t>
    </rPh>
    <phoneticPr fontId="16"/>
  </si>
  <si>
    <t>豊郷南小</t>
    <rPh sb="0" eb="2">
      <t>トヨサト</t>
    </rPh>
    <rPh sb="2" eb="4">
      <t>ミナミショウ</t>
    </rPh>
    <phoneticPr fontId="16"/>
  </si>
  <si>
    <t>姿川中央小</t>
    <rPh sb="0" eb="2">
      <t>スガタガワ</t>
    </rPh>
    <rPh sb="2" eb="5">
      <t>チュウオウショウ</t>
    </rPh>
    <phoneticPr fontId="16"/>
  </si>
  <si>
    <t>上河内西小</t>
    <rPh sb="0" eb="3">
      <t>カミカワチ</t>
    </rPh>
    <rPh sb="3" eb="5">
      <t>ニシショウ</t>
    </rPh>
    <phoneticPr fontId="16"/>
  </si>
  <si>
    <t>石井 4　PM</t>
    <rPh sb="0" eb="2">
      <t>イシイ</t>
    </rPh>
    <phoneticPr fontId="16"/>
  </si>
  <si>
    <t>各節の試合数</t>
    <rPh sb="0" eb="2">
      <t>カクセツ</t>
    </rPh>
    <rPh sb="3" eb="6">
      <t>シアイスウ</t>
    </rPh>
    <phoneticPr fontId="16"/>
  </si>
  <si>
    <t>1c</t>
    <phoneticPr fontId="16"/>
  </si>
  <si>
    <t>小計</t>
    <rPh sb="0" eb="2">
      <t>ショウケイ</t>
    </rPh>
    <phoneticPr fontId="16"/>
  </si>
  <si>
    <t>2c</t>
    <phoneticPr fontId="16"/>
  </si>
  <si>
    <t>3c</t>
    <phoneticPr fontId="16"/>
  </si>
  <si>
    <t>4c</t>
    <phoneticPr fontId="16"/>
  </si>
  <si>
    <t>5a</t>
    <phoneticPr fontId="16"/>
  </si>
  <si>
    <t>5b</t>
    <phoneticPr fontId="16"/>
  </si>
  <si>
    <t>5c</t>
    <phoneticPr fontId="16"/>
  </si>
  <si>
    <t>計</t>
    <rPh sb="0" eb="1">
      <t>ケイ</t>
    </rPh>
    <phoneticPr fontId="16"/>
  </si>
  <si>
    <t>延べ試合数</t>
    <rPh sb="0" eb="1">
      <t>ノ</t>
    </rPh>
    <rPh sb="2" eb="5">
      <t>シアイスウ</t>
    </rPh>
    <phoneticPr fontId="16"/>
  </si>
  <si>
    <t>順位指数</t>
    <rPh sb="0" eb="2">
      <t>ジュンイ</t>
    </rPh>
    <rPh sb="2" eb="4">
      <t>シスウ</t>
    </rPh>
    <phoneticPr fontId="16"/>
  </si>
  <si>
    <t>総合順位</t>
    <rPh sb="0" eb="2">
      <t>ソウゴウ</t>
    </rPh>
    <rPh sb="2" eb="4">
      <t>ジュンイ</t>
    </rPh>
    <phoneticPr fontId="17"/>
  </si>
  <si>
    <t>-</t>
    <phoneticPr fontId="16"/>
  </si>
  <si>
    <t>v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</si>
</sst>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.00000"/>
    <numFmt numFmtId="177" formatCode="[$-411]ggge&quot;年&quot;m&quot;月&quot;d&quot;日&quot;;@"/>
    <numFmt numFmtId="178" formatCode="yyyy/m/d&quot; (&quot;aaa&quot;)&quot;"/>
    <numFmt numFmtId="179" formatCode="m/d;@"/>
    <numFmt numFmtId="180" formatCode="h:mm;@"/>
    <numFmt numFmtId="181" formatCode="0_ "/>
    <numFmt numFmtId="182" formatCode="0.000"/>
  </numFmts>
  <fonts count="65" x14ac:knownFonts="1">
    <font>
      <sz val="11"/>
      <color theme="1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2"/>
      <name val="Meiryo UI"/>
      <family val="3"/>
      <charset val="128"/>
    </font>
    <font>
      <b/>
      <sz val="14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2"/>
      <name val="游ゴシック"/>
      <family val="3"/>
      <charset val="128"/>
    </font>
    <font>
      <sz val="12"/>
      <name val="AR P丸ゴシック体M"/>
      <family val="3"/>
      <charset val="128"/>
    </font>
    <font>
      <b/>
      <sz val="11"/>
      <color indexed="10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30"/>
      <name val="游ゴシック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9"/>
      <name val="ＭＳ Ｐゴシック"/>
      <family val="3"/>
      <charset val="128"/>
    </font>
    <font>
      <b/>
      <sz val="12"/>
      <name val="AR丸ゴシック体M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4"/>
      <name val="Meiryo UI"/>
      <family val="3"/>
      <charset val="128"/>
    </font>
    <font>
      <b/>
      <i/>
      <u/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i/>
      <u/>
      <sz val="14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i/>
      <sz val="14"/>
      <color indexed="8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b/>
      <i/>
      <u/>
      <sz val="14"/>
      <name val="Meiryo UI"/>
      <family val="3"/>
      <charset val="128"/>
    </font>
    <font>
      <b/>
      <i/>
      <u/>
      <sz val="14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i/>
      <u/>
      <sz val="14"/>
      <name val="Meiryo UI"/>
      <family val="3"/>
      <charset val="128"/>
    </font>
    <font>
      <sz val="11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Arial Unicode MS"/>
      <family val="3"/>
      <charset val="128"/>
    </font>
    <font>
      <sz val="10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indexed="8"/>
      <name val="游ゴシック"/>
      <family val="3"/>
      <charset val="128"/>
    </font>
    <font>
      <b/>
      <sz val="12"/>
      <name val="Meiryo UI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1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64"/>
      </top>
      <bottom style="double">
        <color indexed="8"/>
      </bottom>
      <diagonal/>
    </border>
    <border>
      <left/>
      <right style="hair">
        <color indexed="8"/>
      </right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thin">
        <color indexed="64"/>
      </bottom>
      <diagonal/>
    </border>
    <border>
      <left style="hair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 diagonalDown="1">
      <left style="thin">
        <color indexed="64"/>
      </left>
      <right/>
      <top style="thin">
        <color indexed="8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8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center"/>
    </xf>
    <xf numFmtId="0" fontId="1" fillId="12" borderId="1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2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7" fillId="0" borderId="0"/>
    <xf numFmtId="0" fontId="7" fillId="0" borderId="0">
      <alignment vertical="center"/>
    </xf>
  </cellStyleXfs>
  <cellXfs count="550">
    <xf numFmtId="0" fontId="0" fillId="0" borderId="0" xfId="0">
      <alignment vertical="center"/>
    </xf>
    <xf numFmtId="0" fontId="1" fillId="0" borderId="0" xfId="21">
      <alignment vertical="center"/>
    </xf>
    <xf numFmtId="0" fontId="1" fillId="0" borderId="0" xfId="21" applyFont="1">
      <alignment vertical="center"/>
    </xf>
    <xf numFmtId="0" fontId="1" fillId="0" borderId="0" xfId="21" applyAlignment="1">
      <alignment vertical="center" shrinkToFit="1"/>
    </xf>
    <xf numFmtId="0" fontId="1" fillId="6" borderId="2" xfId="21" applyFill="1" applyBorder="1" applyAlignment="1" applyProtection="1">
      <alignment horizontal="center" vertical="center" shrinkToFit="1"/>
      <protection hidden="1"/>
    </xf>
    <xf numFmtId="0" fontId="1" fillId="6" borderId="3" xfId="21" applyFill="1" applyBorder="1" applyAlignment="1" applyProtection="1">
      <alignment horizontal="center" vertical="center" shrinkToFit="1"/>
      <protection hidden="1"/>
    </xf>
    <xf numFmtId="0" fontId="1" fillId="6" borderId="4" xfId="21" applyFont="1" applyFill="1" applyBorder="1" applyAlignment="1" applyProtection="1">
      <alignment horizontal="center" vertical="center" shrinkToFit="1"/>
      <protection hidden="1"/>
    </xf>
    <xf numFmtId="0" fontId="1" fillId="6" borderId="3" xfId="21" applyFont="1" applyFill="1" applyBorder="1" applyAlignment="1" applyProtection="1">
      <alignment horizontal="center" vertical="center" shrinkToFit="1"/>
      <protection hidden="1"/>
    </xf>
    <xf numFmtId="0" fontId="1" fillId="6" borderId="5" xfId="21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21" applyNumberFormat="1" applyFont="1" applyBorder="1" applyAlignment="1" applyProtection="1">
      <alignment horizontal="center" vertical="center" shrinkToFit="1"/>
      <protection hidden="1"/>
    </xf>
    <xf numFmtId="0" fontId="1" fillId="0" borderId="7" xfId="21" applyNumberFormat="1" applyFont="1" applyBorder="1" applyAlignment="1" applyProtection="1">
      <alignment horizontal="center" vertical="center" shrinkToFit="1"/>
      <protection hidden="1"/>
    </xf>
    <xf numFmtId="176" fontId="1" fillId="0" borderId="8" xfId="21" applyNumberFormat="1" applyFont="1" applyBorder="1" applyAlignment="1" applyProtection="1">
      <alignment horizontal="center" vertical="center"/>
      <protection hidden="1"/>
    </xf>
    <xf numFmtId="0" fontId="1" fillId="0" borderId="9" xfId="21" applyNumberFormat="1" applyFont="1" applyBorder="1" applyAlignment="1" applyProtection="1">
      <alignment horizontal="center" vertical="center" shrinkToFit="1"/>
      <protection hidden="1"/>
    </xf>
    <xf numFmtId="0" fontId="1" fillId="0" borderId="10" xfId="21" applyNumberFormat="1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21" applyNumberFormat="1" applyFont="1" applyBorder="1" applyAlignment="1" applyProtection="1">
      <alignment horizontal="center" vertical="center" shrinkToFit="1"/>
      <protection hidden="1"/>
    </xf>
    <xf numFmtId="0" fontId="1" fillId="0" borderId="13" xfId="21" applyNumberFormat="1" applyFont="1" applyBorder="1" applyAlignment="1" applyProtection="1">
      <alignment horizontal="center" vertical="center" shrinkToFit="1"/>
      <protection hidden="1"/>
    </xf>
    <xf numFmtId="176" fontId="1" fillId="0" borderId="14" xfId="21" applyNumberFormat="1" applyFont="1" applyBorder="1" applyAlignment="1" applyProtection="1">
      <alignment horizontal="center" vertical="center"/>
      <protection hidden="1"/>
    </xf>
    <xf numFmtId="0" fontId="1" fillId="0" borderId="15" xfId="21" applyNumberFormat="1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21" applyNumberFormat="1" applyFont="1" applyBorder="1" applyAlignment="1" applyProtection="1">
      <alignment horizontal="center" vertical="center" shrinkToFit="1"/>
      <protection hidden="1"/>
    </xf>
    <xf numFmtId="0" fontId="1" fillId="0" borderId="18" xfId="21" applyNumberFormat="1" applyFont="1" applyBorder="1" applyAlignment="1" applyProtection="1">
      <alignment horizontal="center" vertical="center" shrinkToFit="1"/>
      <protection hidden="1"/>
    </xf>
    <xf numFmtId="0" fontId="1" fillId="0" borderId="19" xfId="21" applyNumberFormat="1" applyFont="1" applyBorder="1" applyAlignment="1" applyProtection="1">
      <alignment horizontal="center" vertical="center" shrinkToFit="1"/>
      <protection hidden="1"/>
    </xf>
    <xf numFmtId="0" fontId="1" fillId="0" borderId="20" xfId="21" applyBorder="1">
      <alignment vertical="center"/>
    </xf>
    <xf numFmtId="0" fontId="1" fillId="6" borderId="21" xfId="21" applyFont="1" applyFill="1" applyBorder="1" applyAlignment="1" applyProtection="1">
      <alignment horizontal="center" vertical="center" shrinkToFit="1"/>
      <protection hidden="1"/>
    </xf>
    <xf numFmtId="0" fontId="1" fillId="6" borderId="20" xfId="21" applyFill="1" applyBorder="1" applyAlignment="1" applyProtection="1">
      <alignment horizontal="center" vertical="center" shrinkToFit="1"/>
      <protection hidden="1"/>
    </xf>
    <xf numFmtId="0" fontId="3" fillId="0" borderId="0" xfId="21" applyFont="1" applyAlignment="1">
      <alignment horizontal="center" vertical="center" shrinkToFit="1"/>
    </xf>
    <xf numFmtId="176" fontId="1" fillId="0" borderId="22" xfId="21" applyNumberFormat="1" applyFont="1" applyBorder="1" applyAlignment="1" applyProtection="1">
      <alignment horizontal="center" vertical="center" shrinkToFit="1"/>
      <protection hidden="1"/>
    </xf>
    <xf numFmtId="0" fontId="1" fillId="0" borderId="16" xfId="21" applyFill="1" applyBorder="1" applyAlignment="1" applyProtection="1">
      <alignment horizontal="center" vertical="center"/>
      <protection hidden="1"/>
    </xf>
    <xf numFmtId="49" fontId="2" fillId="0" borderId="23" xfId="21" applyNumberFormat="1" applyFont="1" applyBorder="1" applyAlignment="1">
      <alignment horizontal="center" vertical="center" textRotation="255" wrapText="1"/>
    </xf>
    <xf numFmtId="0" fontId="1" fillId="0" borderId="11" xfId="2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1" fillId="0" borderId="0" xfId="21" applyNumberFormat="1" applyBorder="1" applyAlignment="1">
      <alignment horizontal="center" vertical="center" wrapText="1"/>
    </xf>
    <xf numFmtId="49" fontId="1" fillId="0" borderId="23" xfId="21" applyNumberFormat="1" applyBorder="1" applyAlignment="1">
      <alignment horizontal="center" vertical="center" wrapText="1"/>
    </xf>
    <xf numFmtId="0" fontId="1" fillId="0" borderId="0" xfId="21" applyBorder="1">
      <alignment vertical="center"/>
    </xf>
    <xf numFmtId="0" fontId="7" fillId="0" borderId="0" xfId="35"/>
    <xf numFmtId="0" fontId="10" fillId="0" borderId="0" xfId="35" applyFont="1"/>
    <xf numFmtId="0" fontId="1" fillId="0" borderId="11" xfId="21" quotePrefix="1" applyBorder="1">
      <alignment vertical="center"/>
    </xf>
    <xf numFmtId="0" fontId="1" fillId="0" borderId="16" xfId="21" applyNumberFormat="1" applyFont="1" applyBorder="1" applyAlignment="1" applyProtection="1">
      <alignment horizontal="center" vertical="center"/>
      <protection hidden="1"/>
    </xf>
    <xf numFmtId="0" fontId="1" fillId="0" borderId="11" xfId="21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9" fillId="0" borderId="12" xfId="2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24" xfId="35" applyFont="1" applyBorder="1" applyAlignment="1">
      <alignment horizontal="left" vertical="center"/>
    </xf>
    <xf numFmtId="0" fontId="19" fillId="0" borderId="11" xfId="20" applyFont="1" applyBorder="1" applyAlignment="1">
      <alignment horizontal="center" vertical="center" wrapText="1"/>
    </xf>
    <xf numFmtId="0" fontId="19" fillId="0" borderId="2" xfId="20" applyFont="1" applyBorder="1" applyAlignment="1">
      <alignment horizontal="center" vertical="center" wrapText="1"/>
    </xf>
    <xf numFmtId="0" fontId="19" fillId="0" borderId="23" xfId="20" applyFont="1" applyBorder="1" applyAlignment="1">
      <alignment horizontal="center" vertical="center" wrapText="1"/>
    </xf>
    <xf numFmtId="0" fontId="12" fillId="0" borderId="20" xfId="35" applyFont="1" applyBorder="1" applyAlignment="1">
      <alignment horizontal="left" vertical="center" wrapText="1"/>
    </xf>
    <xf numFmtId="0" fontId="12" fillId="0" borderId="11" xfId="35" applyFont="1" applyBorder="1" applyAlignment="1">
      <alignment vertical="center"/>
    </xf>
    <xf numFmtId="0" fontId="12" fillId="0" borderId="24" xfId="35" applyFont="1" applyBorder="1" applyAlignment="1">
      <alignment vertical="center"/>
    </xf>
    <xf numFmtId="0" fontId="19" fillId="0" borderId="11" xfId="20" applyFont="1" applyBorder="1" applyAlignment="1">
      <alignment horizontal="center" vertical="center"/>
    </xf>
    <xf numFmtId="0" fontId="12" fillId="0" borderId="23" xfId="35" applyFont="1" applyBorder="1" applyAlignment="1">
      <alignment horizontal="center" vertical="center"/>
    </xf>
    <xf numFmtId="0" fontId="19" fillId="0" borderId="23" xfId="20" applyFont="1" applyBorder="1" applyAlignment="1">
      <alignment horizontal="center" vertical="center"/>
    </xf>
    <xf numFmtId="0" fontId="19" fillId="0" borderId="2" xfId="20" applyFont="1" applyBorder="1" applyAlignment="1">
      <alignment horizontal="center" vertical="center"/>
    </xf>
    <xf numFmtId="0" fontId="52" fillId="0" borderId="0" xfId="20">
      <alignment vertical="center"/>
    </xf>
    <xf numFmtId="0" fontId="19" fillId="0" borderId="12" xfId="20" applyFont="1" applyBorder="1" applyAlignment="1">
      <alignment horizontal="center" vertical="center"/>
    </xf>
    <xf numFmtId="0" fontId="10" fillId="0" borderId="11" xfId="35" applyFont="1" applyBorder="1" applyAlignment="1">
      <alignment horizontal="center" vertical="center" shrinkToFit="1"/>
    </xf>
    <xf numFmtId="0" fontId="10" fillId="0" borderId="16" xfId="35" applyFont="1" applyBorder="1" applyAlignment="1">
      <alignment horizontal="center" vertical="center" shrinkToFit="1"/>
    </xf>
    <xf numFmtId="0" fontId="10" fillId="0" borderId="16" xfId="35" applyFont="1" applyBorder="1" applyAlignment="1">
      <alignment horizontal="center" vertical="center" wrapText="1" shrinkToFit="1"/>
    </xf>
    <xf numFmtId="0" fontId="10" fillId="0" borderId="11" xfId="35" applyFont="1" applyBorder="1" applyAlignment="1">
      <alignment horizontal="center" vertical="center" wrapText="1" shrinkToFit="1"/>
    </xf>
    <xf numFmtId="0" fontId="15" fillId="0" borderId="25" xfId="0" applyFont="1" applyBorder="1">
      <alignment vertical="center"/>
    </xf>
    <xf numFmtId="0" fontId="15" fillId="0" borderId="26" xfId="0" applyFont="1" applyBorder="1" applyAlignment="1">
      <alignment horizontal="center" vertical="center"/>
    </xf>
    <xf numFmtId="49" fontId="7" fillId="0" borderId="27" xfId="21" applyNumberFormat="1" applyFont="1" applyBorder="1" applyAlignment="1">
      <alignment horizontal="center" vertical="center" shrinkToFit="1"/>
    </xf>
    <xf numFmtId="0" fontId="15" fillId="0" borderId="28" xfId="0" applyFont="1" applyBorder="1">
      <alignment vertical="center"/>
    </xf>
    <xf numFmtId="0" fontId="15" fillId="0" borderId="29" xfId="0" applyFont="1" applyBorder="1" applyAlignment="1">
      <alignment horizontal="center" vertical="center"/>
    </xf>
    <xf numFmtId="20" fontId="0" fillId="0" borderId="27" xfId="0" applyNumberFormat="1" applyBorder="1">
      <alignment vertical="center"/>
    </xf>
    <xf numFmtId="20" fontId="0" fillId="0" borderId="30" xfId="0" applyNumberFormat="1" applyBorder="1">
      <alignment vertical="center"/>
    </xf>
    <xf numFmtId="0" fontId="15" fillId="0" borderId="31" xfId="0" applyFont="1" applyBorder="1" applyAlignment="1">
      <alignment horizontal="center" vertical="center"/>
    </xf>
    <xf numFmtId="49" fontId="7" fillId="0" borderId="32" xfId="21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6" xfId="0" applyFont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" fillId="0" borderId="30" xfId="21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179" fontId="23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>
      <alignment vertical="center"/>
    </xf>
    <xf numFmtId="0" fontId="15" fillId="0" borderId="33" xfId="0" applyFont="1" applyBorder="1">
      <alignment vertical="center"/>
    </xf>
    <xf numFmtId="20" fontId="0" fillId="0" borderId="35" xfId="0" applyNumberFormat="1" applyBorder="1">
      <alignment vertical="center"/>
    </xf>
    <xf numFmtId="0" fontId="15" fillId="0" borderId="12" xfId="0" applyFont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20" fontId="15" fillId="0" borderId="0" xfId="0" applyNumberFormat="1" applyFont="1">
      <alignment vertical="center"/>
    </xf>
    <xf numFmtId="20" fontId="0" fillId="0" borderId="32" xfId="0" applyNumberFormat="1" applyBorder="1">
      <alignment vertical="center"/>
    </xf>
    <xf numFmtId="0" fontId="0" fillId="0" borderId="38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11" borderId="0" xfId="0" applyFill="1">
      <alignment vertical="center"/>
    </xf>
    <xf numFmtId="0" fontId="0" fillId="0" borderId="39" xfId="0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13" borderId="16" xfId="0" applyFill="1" applyBorder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49" fontId="29" fillId="0" borderId="27" xfId="21" applyNumberFormat="1" applyFont="1" applyBorder="1" applyAlignment="1">
      <alignment horizontal="center" vertical="center" shrinkToFit="1"/>
    </xf>
    <xf numFmtId="49" fontId="29" fillId="0" borderId="30" xfId="21" applyNumberFormat="1" applyFont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21" fontId="0" fillId="0" borderId="0" xfId="0" applyNumberForma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7" fontId="40" fillId="0" borderId="0" xfId="29" applyNumberFormat="1" applyFont="1" applyFill="1" applyBorder="1" applyAlignment="1">
      <alignment vertical="center"/>
    </xf>
    <xf numFmtId="0" fontId="39" fillId="0" borderId="0" xfId="29" applyFont="1" applyFill="1" applyAlignment="1">
      <alignment vertical="center"/>
    </xf>
    <xf numFmtId="177" fontId="38" fillId="0" borderId="0" xfId="29" applyNumberFormat="1" applyFont="1" applyFill="1" applyBorder="1" applyAlignment="1">
      <alignment vertical="center"/>
    </xf>
    <xf numFmtId="0" fontId="36" fillId="0" borderId="0" xfId="29" applyFont="1" applyFill="1" applyAlignment="1">
      <alignment vertical="center"/>
    </xf>
    <xf numFmtId="0" fontId="42" fillId="0" borderId="16" xfId="29" applyFont="1" applyFill="1" applyBorder="1" applyAlignment="1">
      <alignment vertical="center" shrinkToFit="1"/>
    </xf>
    <xf numFmtId="0" fontId="41" fillId="0" borderId="16" xfId="13" applyFont="1" applyFill="1" applyBorder="1" applyAlignment="1" applyProtection="1">
      <alignment horizontal="center" vertical="center"/>
      <protection locked="0"/>
    </xf>
    <xf numFmtId="0" fontId="41" fillId="0" borderId="16" xfId="13" applyFont="1" applyFill="1" applyBorder="1" applyAlignment="1">
      <alignment horizontal="center" vertical="center"/>
    </xf>
    <xf numFmtId="0" fontId="36" fillId="0" borderId="0" xfId="29" applyFont="1" applyFill="1" applyBorder="1" applyAlignment="1">
      <alignment vertical="center"/>
    </xf>
    <xf numFmtId="0" fontId="41" fillId="0" borderId="0" xfId="29" applyFont="1" applyFill="1" applyBorder="1" applyAlignment="1">
      <alignment horizontal="center" vertical="center" shrinkToFit="1"/>
    </xf>
    <xf numFmtId="20" fontId="41" fillId="0" borderId="0" xfId="29" applyNumberFormat="1" applyFont="1" applyFill="1" applyBorder="1" applyAlignment="1">
      <alignment horizontal="center" vertical="center" shrinkToFit="1"/>
    </xf>
    <xf numFmtId="0" fontId="35" fillId="0" borderId="0" xfId="29" applyFont="1" applyFill="1" applyBorder="1" applyAlignment="1">
      <alignment horizontal="center" vertical="center" shrinkToFit="1"/>
    </xf>
    <xf numFmtId="0" fontId="36" fillId="0" borderId="0" xfId="29" applyFont="1" applyFill="1" applyBorder="1" applyAlignment="1">
      <alignment vertical="center" shrinkToFit="1"/>
    </xf>
    <xf numFmtId="0" fontId="36" fillId="0" borderId="0" xfId="29" applyFont="1" applyFill="1" applyBorder="1" applyAlignment="1">
      <alignment horizontal="center" vertical="center" shrinkToFit="1"/>
    </xf>
    <xf numFmtId="0" fontId="45" fillId="0" borderId="0" xfId="29" applyFont="1" applyFill="1" applyBorder="1" applyAlignment="1">
      <alignment horizontal="center" vertical="center" shrinkToFit="1"/>
    </xf>
    <xf numFmtId="177" fontId="48" fillId="0" borderId="0" xfId="29" applyNumberFormat="1" applyFont="1" applyFill="1" applyBorder="1" applyAlignment="1">
      <alignment vertical="center"/>
    </xf>
    <xf numFmtId="0" fontId="47" fillId="0" borderId="0" xfId="29" applyFont="1" applyFill="1" applyAlignment="1">
      <alignment vertical="center"/>
    </xf>
    <xf numFmtId="177" fontId="49" fillId="0" borderId="0" xfId="29" applyNumberFormat="1" applyFont="1" applyFill="1" applyBorder="1" applyAlignment="1">
      <alignment vertical="center"/>
    </xf>
    <xf numFmtId="0" fontId="39" fillId="0" borderId="0" xfId="29" applyFont="1" applyFill="1" applyBorder="1" applyAlignment="1">
      <alignment vertical="center"/>
    </xf>
    <xf numFmtId="0" fontId="35" fillId="0" borderId="0" xfId="29" applyFont="1" applyFill="1" applyBorder="1" applyAlignment="1">
      <alignment vertical="center" textRotation="255" shrinkToFit="1"/>
    </xf>
    <xf numFmtId="0" fontId="41" fillId="0" borderId="0" xfId="29" applyFont="1" applyFill="1" applyBorder="1" applyAlignment="1">
      <alignment vertical="center"/>
    </xf>
    <xf numFmtId="0" fontId="36" fillId="0" borderId="14" xfId="29" applyFont="1" applyFill="1" applyBorder="1" applyAlignment="1">
      <alignment vertical="center"/>
    </xf>
    <xf numFmtId="0" fontId="46" fillId="0" borderId="0" xfId="29" applyFont="1" applyFill="1" applyAlignment="1">
      <alignment vertical="center"/>
    </xf>
    <xf numFmtId="0" fontId="47" fillId="0" borderId="0" xfId="29" applyFont="1" applyFill="1" applyBorder="1" applyAlignment="1">
      <alignment vertical="center"/>
    </xf>
    <xf numFmtId="177" fontId="51" fillId="0" borderId="0" xfId="29" applyNumberFormat="1" applyFont="1" applyFill="1" applyBorder="1" applyAlignment="1">
      <alignment vertical="center"/>
    </xf>
    <xf numFmtId="0" fontId="43" fillId="0" borderId="0" xfId="29" applyFont="1" applyFill="1" applyAlignment="1">
      <alignment vertical="center"/>
    </xf>
    <xf numFmtId="180" fontId="36" fillId="0" borderId="14" xfId="29" applyNumberFormat="1" applyFont="1" applyFill="1" applyBorder="1" applyAlignment="1">
      <alignment vertical="center"/>
    </xf>
    <xf numFmtId="0" fontId="36" fillId="0" borderId="0" xfId="29" applyFont="1" applyFill="1" applyBorder="1" applyAlignment="1">
      <alignment horizontal="left" vertical="center" shrinkToFit="1"/>
    </xf>
    <xf numFmtId="0" fontId="12" fillId="0" borderId="2" xfId="35" applyFont="1" applyBorder="1" applyAlignment="1">
      <alignment horizontal="center" vertical="center" shrinkToFit="1"/>
    </xf>
    <xf numFmtId="0" fontId="7" fillId="0" borderId="0" xfId="36" applyFill="1" applyAlignment="1">
      <alignment horizontal="center" vertical="center"/>
    </xf>
    <xf numFmtId="0" fontId="7" fillId="0" borderId="0" xfId="36" applyFill="1" applyAlignment="1">
      <alignment vertical="center" shrinkToFit="1"/>
    </xf>
    <xf numFmtId="0" fontId="7" fillId="0" borderId="0" xfId="36" applyFont="1" applyFill="1">
      <alignment vertical="center"/>
    </xf>
    <xf numFmtId="0" fontId="7" fillId="0" borderId="0" xfId="36" applyFill="1">
      <alignment vertical="center"/>
    </xf>
    <xf numFmtId="0" fontId="56" fillId="0" borderId="0" xfId="36" applyFont="1" applyFill="1">
      <alignment vertical="center"/>
    </xf>
    <xf numFmtId="0" fontId="7" fillId="0" borderId="0" xfId="36" applyFont="1" applyFill="1" applyAlignment="1">
      <alignment vertical="center" shrinkToFit="1"/>
    </xf>
    <xf numFmtId="0" fontId="7" fillId="0" borderId="48" xfId="36" applyFill="1" applyBorder="1" applyAlignment="1">
      <alignment horizontal="center" vertical="center" shrinkToFit="1"/>
    </xf>
    <xf numFmtId="0" fontId="7" fillId="0" borderId="57" xfId="36" applyFont="1" applyFill="1" applyBorder="1" applyAlignment="1">
      <alignment horizontal="center" vertical="center" shrinkToFit="1"/>
    </xf>
    <xf numFmtId="0" fontId="7" fillId="0" borderId="58" xfId="36" applyFont="1" applyFill="1" applyBorder="1" applyAlignment="1">
      <alignment horizontal="center" vertical="center" shrinkToFit="1"/>
    </xf>
    <xf numFmtId="0" fontId="7" fillId="0" borderId="59" xfId="36" applyFont="1" applyFill="1" applyBorder="1" applyAlignment="1">
      <alignment horizontal="center" vertical="center" shrinkToFit="1"/>
    </xf>
    <xf numFmtId="0" fontId="7" fillId="0" borderId="49" xfId="36" applyFont="1" applyFill="1" applyBorder="1" applyAlignment="1">
      <alignment horizontal="center" vertical="center" shrinkToFit="1"/>
    </xf>
    <xf numFmtId="0" fontId="7" fillId="0" borderId="51" xfId="36" applyFont="1" applyFill="1" applyBorder="1" applyAlignment="1">
      <alignment vertical="center" shrinkToFit="1"/>
    </xf>
    <xf numFmtId="0" fontId="7" fillId="0" borderId="60" xfId="36" applyFont="1" applyFill="1" applyBorder="1" applyAlignment="1">
      <alignment horizontal="center" vertical="center" shrinkToFit="1"/>
    </xf>
    <xf numFmtId="0" fontId="57" fillId="0" borderId="61" xfId="36" quotePrefix="1" applyFont="1" applyFill="1" applyBorder="1" applyAlignment="1">
      <alignment horizontal="center" vertical="center"/>
    </xf>
    <xf numFmtId="0" fontId="7" fillId="0" borderId="63" xfId="36" applyFont="1" applyFill="1" applyBorder="1" applyAlignment="1">
      <alignment horizontal="center" vertical="center" shrinkToFit="1"/>
    </xf>
    <xf numFmtId="181" fontId="1" fillId="0" borderId="0" xfId="36" applyNumberFormat="1" applyFont="1" applyFill="1" applyBorder="1">
      <alignment vertical="center"/>
    </xf>
    <xf numFmtId="0" fontId="7" fillId="0" borderId="64" xfId="36" applyFont="1" applyFill="1" applyBorder="1" applyAlignment="1">
      <alignment horizontal="center" vertical="center" shrinkToFit="1"/>
    </xf>
    <xf numFmtId="181" fontId="7" fillId="0" borderId="0" xfId="36" applyNumberFormat="1" applyFill="1" applyBorder="1">
      <alignment vertical="center"/>
    </xf>
    <xf numFmtId="0" fontId="7" fillId="0" borderId="65" xfId="36" applyFont="1" applyFill="1" applyBorder="1" applyAlignment="1">
      <alignment horizontal="center" vertical="center" shrinkToFit="1"/>
    </xf>
    <xf numFmtId="181" fontId="1" fillId="0" borderId="64" xfId="36" applyNumberFormat="1" applyFont="1" applyFill="1" applyBorder="1">
      <alignment vertical="center"/>
    </xf>
    <xf numFmtId="181" fontId="7" fillId="0" borderId="64" xfId="36" applyNumberFormat="1" applyFill="1" applyBorder="1">
      <alignment vertical="center"/>
    </xf>
    <xf numFmtId="181" fontId="7" fillId="0" borderId="66" xfId="36" applyNumberFormat="1" applyFill="1" applyBorder="1">
      <alignment vertical="center"/>
    </xf>
    <xf numFmtId="181" fontId="7" fillId="0" borderId="67" xfId="36" applyNumberFormat="1" applyFill="1" applyBorder="1">
      <alignment vertical="center"/>
    </xf>
    <xf numFmtId="181" fontId="7" fillId="0" borderId="68" xfId="36" applyNumberFormat="1" applyFill="1" applyBorder="1">
      <alignment vertical="center"/>
    </xf>
    <xf numFmtId="0" fontId="7" fillId="0" borderId="69" xfId="36" applyFont="1" applyFill="1" applyBorder="1" applyAlignment="1">
      <alignment horizontal="center" vertical="center"/>
    </xf>
    <xf numFmtId="0" fontId="7" fillId="0" borderId="70" xfId="36" applyFont="1" applyFill="1" applyBorder="1" applyAlignment="1">
      <alignment horizontal="center" vertical="center"/>
    </xf>
    <xf numFmtId="0" fontId="7" fillId="0" borderId="71" xfId="36" applyFont="1" applyFill="1" applyBorder="1" applyAlignment="1">
      <alignment horizontal="center" vertical="center"/>
    </xf>
    <xf numFmtId="181" fontId="7" fillId="0" borderId="69" xfId="36" applyNumberFormat="1" applyFont="1" applyFill="1" applyBorder="1" applyAlignment="1">
      <alignment horizontal="center" vertical="center"/>
    </xf>
    <xf numFmtId="181" fontId="7" fillId="0" borderId="72" xfId="36" applyNumberFormat="1" applyFont="1" applyFill="1" applyBorder="1" applyAlignment="1">
      <alignment horizontal="center" vertical="center"/>
    </xf>
    <xf numFmtId="0" fontId="8" fillId="0" borderId="73" xfId="36" applyFont="1" applyFill="1" applyBorder="1" applyAlignment="1">
      <alignment horizontal="center" vertical="center"/>
    </xf>
    <xf numFmtId="181" fontId="7" fillId="0" borderId="0" xfId="36" applyNumberFormat="1" applyFill="1">
      <alignment vertical="center"/>
    </xf>
    <xf numFmtId="0" fontId="57" fillId="0" borderId="74" xfId="36" quotePrefix="1" applyFont="1" applyFill="1" applyBorder="1" applyAlignment="1">
      <alignment horizontal="center" vertical="center"/>
    </xf>
    <xf numFmtId="0" fontId="7" fillId="0" borderId="75" xfId="36" applyFont="1" applyFill="1" applyBorder="1" applyAlignment="1">
      <alignment horizontal="center" vertical="center" shrinkToFit="1"/>
    </xf>
    <xf numFmtId="0" fontId="58" fillId="0" borderId="76" xfId="36" applyFont="1" applyFill="1" applyBorder="1" applyAlignment="1">
      <alignment horizontal="center" vertical="center" shrinkToFit="1"/>
    </xf>
    <xf numFmtId="0" fontId="7" fillId="0" borderId="76" xfId="36" applyFont="1" applyFill="1" applyBorder="1" applyAlignment="1">
      <alignment horizontal="center" vertical="center" shrinkToFit="1"/>
    </xf>
    <xf numFmtId="0" fontId="58" fillId="0" borderId="77" xfId="36" applyFont="1" applyFill="1" applyBorder="1" applyAlignment="1">
      <alignment horizontal="center" vertical="center" shrinkToFit="1"/>
    </xf>
    <xf numFmtId="0" fontId="7" fillId="0" borderId="14" xfId="36" applyFont="1" applyFill="1" applyBorder="1" applyAlignment="1">
      <alignment horizontal="center" vertical="center" shrinkToFit="1"/>
    </xf>
    <xf numFmtId="0" fontId="7" fillId="0" borderId="81" xfId="36" applyFont="1" applyFill="1" applyBorder="1" applyAlignment="1">
      <alignment horizontal="center" vertical="center" shrinkToFit="1"/>
    </xf>
    <xf numFmtId="181" fontId="1" fillId="0" borderId="14" xfId="36" applyNumberFormat="1" applyFont="1" applyFill="1" applyBorder="1">
      <alignment vertical="center"/>
    </xf>
    <xf numFmtId="181" fontId="7" fillId="0" borderId="47" xfId="36" applyNumberFormat="1" applyFill="1" applyBorder="1">
      <alignment vertical="center"/>
    </xf>
    <xf numFmtId="181" fontId="7" fillId="0" borderId="9" xfId="36" applyNumberFormat="1" applyFill="1" applyBorder="1">
      <alignment vertical="center"/>
    </xf>
    <xf numFmtId="0" fontId="7" fillId="0" borderId="8" xfId="36" applyFont="1" applyFill="1" applyBorder="1" applyAlignment="1">
      <alignment horizontal="center" vertical="center" shrinkToFit="1"/>
    </xf>
    <xf numFmtId="181" fontId="7" fillId="0" borderId="22" xfId="36" applyNumberFormat="1" applyFill="1" applyBorder="1">
      <alignment vertical="center"/>
    </xf>
    <xf numFmtId="181" fontId="7" fillId="0" borderId="8" xfId="36" applyNumberFormat="1" applyFill="1" applyBorder="1">
      <alignment vertical="center"/>
    </xf>
    <xf numFmtId="0" fontId="7" fillId="0" borderId="82" xfId="36" applyFont="1" applyFill="1" applyBorder="1" applyAlignment="1">
      <alignment horizontal="center" vertical="center" shrinkToFit="1"/>
    </xf>
    <xf numFmtId="181" fontId="7" fillId="0" borderId="83" xfId="36" applyNumberFormat="1" applyFill="1" applyBorder="1">
      <alignment vertical="center"/>
    </xf>
    <xf numFmtId="0" fontId="7" fillId="0" borderId="4" xfId="36" applyFont="1" applyFill="1" applyBorder="1" applyAlignment="1">
      <alignment horizontal="center" vertical="center" shrinkToFit="1"/>
    </xf>
    <xf numFmtId="181" fontId="7" fillId="0" borderId="14" xfId="36" applyNumberFormat="1" applyFill="1" applyBorder="1">
      <alignment vertical="center"/>
    </xf>
    <xf numFmtId="181" fontId="7" fillId="0" borderId="84" xfId="36" applyNumberFormat="1" applyFill="1" applyBorder="1">
      <alignment vertical="center"/>
    </xf>
    <xf numFmtId="0" fontId="58" fillId="0" borderId="85" xfId="36" applyFont="1" applyFill="1" applyBorder="1" applyAlignment="1">
      <alignment horizontal="center" vertical="center" shrinkToFit="1"/>
    </xf>
    <xf numFmtId="0" fontId="7" fillId="0" borderId="85" xfId="36" applyFont="1" applyFill="1" applyBorder="1" applyAlignment="1">
      <alignment horizontal="center" vertical="center" shrinkToFit="1"/>
    </xf>
    <xf numFmtId="0" fontId="58" fillId="0" borderId="86" xfId="36" applyFont="1" applyFill="1" applyBorder="1" applyAlignment="1">
      <alignment horizontal="center" vertical="center" shrinkToFit="1"/>
    </xf>
    <xf numFmtId="0" fontId="7" fillId="0" borderId="89" xfId="36" applyFont="1" applyFill="1" applyBorder="1" applyAlignment="1">
      <alignment horizontal="center" vertical="center" shrinkToFit="1"/>
    </xf>
    <xf numFmtId="0" fontId="58" fillId="0" borderId="8" xfId="36" applyFont="1" applyFill="1" applyBorder="1" applyAlignment="1">
      <alignment horizontal="center" vertical="center" shrinkToFit="1"/>
    </xf>
    <xf numFmtId="0" fontId="58" fillId="0" borderId="22" xfId="36" applyFont="1" applyFill="1" applyBorder="1" applyAlignment="1">
      <alignment horizontal="center" vertical="center" shrinkToFit="1"/>
    </xf>
    <xf numFmtId="181" fontId="7" fillId="0" borderId="91" xfId="36" applyNumberFormat="1" applyFill="1" applyBorder="1">
      <alignment vertical="center"/>
    </xf>
    <xf numFmtId="0" fontId="57" fillId="0" borderId="0" xfId="36" quotePrefix="1" applyFont="1" applyFill="1" applyBorder="1" applyAlignment="1">
      <alignment horizontal="center" vertical="center"/>
    </xf>
    <xf numFmtId="0" fontId="57" fillId="0" borderId="0" xfId="36" applyFont="1" applyFill="1" applyBorder="1" applyAlignment="1" applyProtection="1">
      <alignment vertical="center" shrinkToFit="1"/>
      <protection locked="0"/>
    </xf>
    <xf numFmtId="0" fontId="7" fillId="0" borderId="0" xfId="36" applyFont="1" applyFill="1" applyBorder="1" applyAlignment="1">
      <alignment horizontal="center" vertical="center" shrinkToFit="1"/>
    </xf>
    <xf numFmtId="0" fontId="58" fillId="0" borderId="0" xfId="36" applyFont="1" applyFill="1" applyBorder="1" applyAlignment="1">
      <alignment horizontal="center" vertical="center" shrinkToFit="1"/>
    </xf>
    <xf numFmtId="49" fontId="7" fillId="0" borderId="0" xfId="36" applyNumberFormat="1" applyFont="1" applyFill="1" applyBorder="1" applyAlignment="1">
      <alignment horizontal="center" vertical="center" wrapText="1"/>
    </xf>
    <xf numFmtId="0" fontId="7" fillId="0" borderId="0" xfId="36" applyFont="1" applyFill="1" applyBorder="1" applyAlignment="1">
      <alignment horizontal="center" vertical="center"/>
    </xf>
    <xf numFmtId="181" fontId="7" fillId="0" borderId="0" xfId="36" applyNumberFormat="1" applyFont="1" applyFill="1" applyBorder="1" applyAlignment="1">
      <alignment horizontal="center" vertical="center"/>
    </xf>
    <xf numFmtId="0" fontId="8" fillId="0" borderId="0" xfId="36" applyFont="1" applyFill="1" applyBorder="1" applyAlignment="1">
      <alignment horizontal="center" vertical="center"/>
    </xf>
    <xf numFmtId="0" fontId="7" fillId="0" borderId="92" xfId="36" applyFill="1" applyBorder="1">
      <alignment vertical="center"/>
    </xf>
    <xf numFmtId="0" fontId="7" fillId="0" borderId="0" xfId="36" quotePrefix="1" applyFont="1" applyFill="1" applyAlignment="1">
      <alignment vertical="center" shrinkToFit="1"/>
    </xf>
    <xf numFmtId="0" fontId="7" fillId="0" borderId="0" xfId="36" quotePrefix="1" applyFont="1" applyFill="1">
      <alignment vertical="center"/>
    </xf>
    <xf numFmtId="0" fontId="57" fillId="0" borderId="73" xfId="36" applyFont="1" applyFill="1" applyBorder="1" applyAlignment="1" applyProtection="1">
      <alignment vertical="center" shrinkToFit="1"/>
      <protection locked="0"/>
    </xf>
    <xf numFmtId="0" fontId="35" fillId="0" borderId="0" xfId="0" applyFont="1" applyFill="1" applyAlignment="1">
      <alignment horizontal="center" vertical="center"/>
    </xf>
    <xf numFmtId="181" fontId="7" fillId="0" borderId="94" xfId="36" applyNumberFormat="1" applyFill="1" applyBorder="1">
      <alignment vertical="center"/>
    </xf>
    <xf numFmtId="181" fontId="7" fillId="0" borderId="95" xfId="36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82" fontId="7" fillId="0" borderId="0" xfId="36" applyNumberFormat="1" applyFill="1">
      <alignment vertical="center"/>
    </xf>
    <xf numFmtId="182" fontId="7" fillId="0" borderId="0" xfId="36" applyNumberFormat="1" applyFill="1" applyAlignment="1">
      <alignment vertical="center" shrinkToFit="1"/>
    </xf>
    <xf numFmtId="0" fontId="36" fillId="0" borderId="23" xfId="29" applyFont="1" applyFill="1" applyBorder="1" applyAlignment="1">
      <alignment vertical="center"/>
    </xf>
    <xf numFmtId="0" fontId="57" fillId="0" borderId="93" xfId="36" applyFont="1" applyFill="1" applyBorder="1" applyAlignment="1" applyProtection="1">
      <alignment vertical="center" shrinkToFit="1"/>
      <protection locked="0"/>
    </xf>
    <xf numFmtId="0" fontId="7" fillId="0" borderId="97" xfId="36" applyFont="1" applyFill="1" applyBorder="1" applyAlignment="1">
      <alignment vertical="center" shrinkToFit="1"/>
    </xf>
    <xf numFmtId="0" fontId="59" fillId="0" borderId="0" xfId="0" applyFont="1">
      <alignment vertical="center"/>
    </xf>
    <xf numFmtId="0" fontId="60" fillId="0" borderId="0" xfId="0" applyFont="1">
      <alignment vertical="center"/>
    </xf>
    <xf numFmtId="0" fontId="61" fillId="0" borderId="0" xfId="0" applyFont="1">
      <alignment vertical="center"/>
    </xf>
    <xf numFmtId="181" fontId="7" fillId="0" borderId="14" xfId="36" applyNumberFormat="1" applyFont="1" applyFill="1" applyBorder="1">
      <alignment vertical="center"/>
    </xf>
    <xf numFmtId="0" fontId="62" fillId="0" borderId="16" xfId="13" applyFont="1" applyFill="1" applyBorder="1" applyAlignment="1" applyProtection="1">
      <alignment horizontal="center" vertical="center"/>
      <protection locked="0"/>
    </xf>
    <xf numFmtId="0" fontId="62" fillId="0" borderId="16" xfId="13" applyFont="1" applyFill="1" applyBorder="1" applyAlignment="1">
      <alignment horizontal="center" vertical="center"/>
    </xf>
    <xf numFmtId="0" fontId="15" fillId="0" borderId="33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3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3" xfId="0" applyFill="1" applyBorder="1">
      <alignment vertical="center"/>
    </xf>
    <xf numFmtId="0" fontId="0" fillId="0" borderId="113" xfId="0" applyBorder="1">
      <alignment vertical="center"/>
    </xf>
    <xf numFmtId="0" fontId="5" fillId="0" borderId="113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 applyAlignment="1">
      <alignment horizontal="center" vertical="center"/>
    </xf>
    <xf numFmtId="2" fontId="7" fillId="0" borderId="0" xfId="36" applyNumberFormat="1" applyFill="1">
      <alignment vertical="center"/>
    </xf>
    <xf numFmtId="0" fontId="63" fillId="0" borderId="0" xfId="36" applyFont="1" applyFill="1" applyAlignment="1">
      <alignment horizontal="center" vertical="center"/>
    </xf>
    <xf numFmtId="0" fontId="64" fillId="0" borderId="60" xfId="36" applyFont="1" applyFill="1" applyBorder="1" applyAlignment="1">
      <alignment horizontal="center" vertical="center" shrinkToFit="1"/>
    </xf>
    <xf numFmtId="0" fontId="63" fillId="0" borderId="73" xfId="36" applyFont="1" applyFill="1" applyBorder="1" applyAlignment="1">
      <alignment horizontal="center" vertical="center"/>
    </xf>
    <xf numFmtId="0" fontId="64" fillId="0" borderId="0" xfId="36" applyFont="1" applyFill="1">
      <alignment vertical="center"/>
    </xf>
    <xf numFmtId="0" fontId="35" fillId="0" borderId="0" xfId="29" applyFont="1" applyFill="1" applyAlignment="1">
      <alignment horizontal="center" vertical="center"/>
    </xf>
    <xf numFmtId="0" fontId="0" fillId="0" borderId="16" xfId="0" applyFill="1" applyBorder="1">
      <alignment vertical="center"/>
    </xf>
    <xf numFmtId="20" fontId="0" fillId="0" borderId="35" xfId="0" applyNumberFormat="1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9" fontId="7" fillId="0" borderId="32" xfId="21" applyNumberFormat="1" applyFont="1" applyFill="1" applyBorder="1" applyAlignment="1">
      <alignment horizontal="center" vertical="center" shrinkToFit="1"/>
    </xf>
    <xf numFmtId="0" fontId="15" fillId="0" borderId="36" xfId="0" applyFont="1" applyFill="1" applyBorder="1">
      <alignment vertical="center"/>
    </xf>
    <xf numFmtId="20" fontId="0" fillId="0" borderId="32" xfId="0" applyNumberFormat="1" applyFill="1" applyBorder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5" xfId="0" applyFont="1" applyFill="1" applyBorder="1">
      <alignment vertical="center"/>
    </xf>
    <xf numFmtId="20" fontId="0" fillId="0" borderId="27" xfId="0" applyNumberFormat="1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7" fillId="0" borderId="27" xfId="21" applyNumberFormat="1" applyFont="1" applyFill="1" applyBorder="1" applyAlignment="1">
      <alignment horizontal="center" vertical="center" shrinkToFit="1"/>
    </xf>
    <xf numFmtId="0" fontId="15" fillId="0" borderId="28" xfId="0" applyFont="1" applyFill="1" applyBorder="1">
      <alignment vertical="center"/>
    </xf>
    <xf numFmtId="20" fontId="0" fillId="0" borderId="30" xfId="0" applyNumberFormat="1" applyFill="1" applyBorder="1">
      <alignment vertical="center"/>
    </xf>
    <xf numFmtId="0" fontId="0" fillId="0" borderId="28" xfId="0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7" fillId="0" borderId="30" xfId="21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>
      <alignment vertical="center"/>
    </xf>
    <xf numFmtId="0" fontId="0" fillId="0" borderId="23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20" fontId="0" fillId="0" borderId="0" xfId="0" applyNumberFormat="1" applyFill="1">
      <alignment vertical="center"/>
    </xf>
    <xf numFmtId="0" fontId="0" fillId="0" borderId="33" xfId="0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179" fontId="23" fillId="0" borderId="0" xfId="0" applyNumberFormat="1" applyFont="1" applyFill="1">
      <alignment vertical="center"/>
    </xf>
    <xf numFmtId="0" fontId="12" fillId="0" borderId="2" xfId="35" applyFont="1" applyBorder="1" applyAlignment="1">
      <alignment horizontal="center" vertical="center"/>
    </xf>
    <xf numFmtId="0" fontId="10" fillId="0" borderId="20" xfId="35" applyFont="1" applyBorder="1" applyAlignment="1">
      <alignment horizontal="center" vertical="center" shrinkToFit="1"/>
    </xf>
    <xf numFmtId="0" fontId="11" fillId="0" borderId="20" xfId="35" applyFont="1" applyBorder="1" applyAlignment="1">
      <alignment horizontal="center" vertical="center" wrapText="1" shrinkToFit="1"/>
    </xf>
    <xf numFmtId="0" fontId="11" fillId="0" borderId="20" xfId="35" applyFont="1" applyBorder="1" applyAlignment="1">
      <alignment horizontal="center" vertical="center" shrinkToFit="1"/>
    </xf>
    <xf numFmtId="0" fontId="10" fillId="0" borderId="20" xfId="35" applyFont="1" applyBorder="1" applyAlignment="1">
      <alignment horizontal="center" vertical="center" shrinkToFit="1"/>
    </xf>
    <xf numFmtId="0" fontId="1" fillId="0" borderId="11" xfId="21" applyBorder="1" applyAlignment="1">
      <alignment horizontal="center" vertical="center" shrinkToFit="1"/>
    </xf>
    <xf numFmtId="0" fontId="11" fillId="0" borderId="12" xfId="35" applyFont="1" applyBorder="1" applyAlignment="1">
      <alignment horizontal="center" vertical="center" wrapText="1" shrinkToFit="1"/>
    </xf>
    <xf numFmtId="0" fontId="11" fillId="0" borderId="14" xfId="35" applyFont="1" applyBorder="1" applyAlignment="1">
      <alignment horizontal="center" vertical="center" wrapText="1" shrinkToFit="1"/>
    </xf>
    <xf numFmtId="0" fontId="9" fillId="0" borderId="16" xfId="35" applyFont="1" applyBorder="1" applyAlignment="1">
      <alignment horizontal="center" vertical="center" wrapText="1"/>
    </xf>
    <xf numFmtId="0" fontId="9" fillId="0" borderId="16" xfId="35" applyFont="1" applyBorder="1" applyAlignment="1">
      <alignment horizontal="center" vertical="center"/>
    </xf>
    <xf numFmtId="0" fontId="22" fillId="0" borderId="16" xfId="35" applyFont="1" applyBorder="1" applyAlignment="1">
      <alignment horizontal="center" vertical="center" shrinkToFit="1"/>
    </xf>
    <xf numFmtId="0" fontId="9" fillId="0" borderId="0" xfId="35" applyFont="1" applyAlignment="1">
      <alignment horizontal="center" vertical="center"/>
    </xf>
    <xf numFmtId="0" fontId="9" fillId="0" borderId="0" xfId="35" applyFont="1" applyAlignment="1">
      <alignment horizontal="center"/>
    </xf>
    <xf numFmtId="0" fontId="10" fillId="0" borderId="40" xfId="35" applyFont="1" applyBorder="1" applyAlignment="1">
      <alignment horizontal="center" shrinkToFit="1"/>
    </xf>
    <xf numFmtId="0" fontId="10" fillId="0" borderId="41" xfId="35" applyFont="1" applyBorder="1" applyAlignment="1">
      <alignment horizontal="center" shrinkToFit="1"/>
    </xf>
    <xf numFmtId="0" fontId="10" fillId="0" borderId="42" xfId="35" applyFont="1" applyBorder="1" applyAlignment="1">
      <alignment horizontal="center" shrinkToFit="1"/>
    </xf>
    <xf numFmtId="0" fontId="10" fillId="0" borderId="43" xfId="35" applyFont="1" applyBorder="1" applyAlignment="1">
      <alignment horizontal="center" shrinkToFit="1"/>
    </xf>
    <xf numFmtId="0" fontId="52" fillId="0" borderId="42" xfId="20" applyBorder="1" applyAlignment="1">
      <alignment horizontal="center" vertical="center"/>
    </xf>
    <xf numFmtId="0" fontId="52" fillId="0" borderId="43" xfId="20" applyBorder="1" applyAlignment="1">
      <alignment horizontal="center" vertical="center"/>
    </xf>
    <xf numFmtId="0" fontId="52" fillId="0" borderId="44" xfId="20" applyBorder="1" applyAlignment="1">
      <alignment horizontal="center" vertical="center"/>
    </xf>
    <xf numFmtId="0" fontId="52" fillId="0" borderId="45" xfId="20" applyBorder="1" applyAlignment="1">
      <alignment horizontal="center" vertical="center"/>
    </xf>
    <xf numFmtId="0" fontId="10" fillId="0" borderId="6" xfId="35" applyFont="1" applyBorder="1" applyAlignment="1">
      <alignment horizontal="center" vertical="center" shrinkToFit="1"/>
    </xf>
    <xf numFmtId="0" fontId="10" fillId="0" borderId="8" xfId="35" applyFont="1" applyBorder="1" applyAlignment="1">
      <alignment horizontal="center" vertical="center" shrinkToFit="1"/>
    </xf>
    <xf numFmtId="0" fontId="52" fillId="0" borderId="8" xfId="20" applyBorder="1" applyAlignment="1">
      <alignment horizontal="center" vertical="center" shrinkToFit="1"/>
    </xf>
    <xf numFmtId="0" fontId="52" fillId="0" borderId="22" xfId="20" applyBorder="1" applyAlignment="1">
      <alignment horizontal="center" vertical="center" shrinkToFit="1"/>
    </xf>
    <xf numFmtId="0" fontId="10" fillId="0" borderId="2" xfId="35" applyFont="1" applyBorder="1" applyAlignment="1">
      <alignment horizontal="center" vertical="center" shrinkToFit="1"/>
    </xf>
    <xf numFmtId="0" fontId="10" fillId="0" borderId="4" xfId="35" applyFont="1" applyBorder="1" applyAlignment="1">
      <alignment horizontal="center" vertical="center" shrinkToFit="1"/>
    </xf>
    <xf numFmtId="0" fontId="1" fillId="0" borderId="4" xfId="21" applyBorder="1" applyAlignment="1">
      <alignment horizontal="center" vertical="center" shrinkToFit="1"/>
    </xf>
    <xf numFmtId="0" fontId="1" fillId="0" borderId="21" xfId="21" applyBorder="1" applyAlignment="1">
      <alignment horizontal="center" vertical="center" shrinkToFit="1"/>
    </xf>
    <xf numFmtId="0" fontId="10" fillId="0" borderId="6" xfId="35" applyFont="1" applyBorder="1" applyAlignment="1">
      <alignment horizontal="distributed" vertical="center"/>
    </xf>
    <xf numFmtId="0" fontId="10" fillId="0" borderId="8" xfId="35" applyFont="1" applyBorder="1" applyAlignment="1">
      <alignment horizontal="distributed" vertical="center"/>
    </xf>
    <xf numFmtId="0" fontId="52" fillId="0" borderId="8" xfId="20" applyBorder="1" applyAlignment="1">
      <alignment horizontal="distributed" vertical="center"/>
    </xf>
    <xf numFmtId="0" fontId="52" fillId="0" borderId="22" xfId="20" applyBorder="1" applyAlignment="1">
      <alignment horizontal="distributed" vertical="center"/>
    </xf>
    <xf numFmtId="0" fontId="52" fillId="0" borderId="6" xfId="20" applyBorder="1" applyAlignment="1">
      <alignment horizontal="center" vertical="center"/>
    </xf>
    <xf numFmtId="0" fontId="52" fillId="0" borderId="8" xfId="20" applyBorder="1" applyAlignment="1">
      <alignment horizontal="center" vertical="center"/>
    </xf>
    <xf numFmtId="0" fontId="52" fillId="0" borderId="22" xfId="20" applyBorder="1" applyAlignment="1">
      <alignment horizontal="center" vertical="center"/>
    </xf>
    <xf numFmtId="0" fontId="22" fillId="0" borderId="4" xfId="35" applyFont="1" applyBorder="1" applyAlignment="1">
      <alignment horizontal="center" vertical="center" shrinkToFit="1"/>
    </xf>
    <xf numFmtId="0" fontId="22" fillId="0" borderId="11" xfId="35" applyFont="1" applyBorder="1" applyAlignment="1">
      <alignment horizontal="center" vertical="center" shrinkToFit="1"/>
    </xf>
    <xf numFmtId="0" fontId="22" fillId="0" borderId="20" xfId="35" applyFont="1" applyBorder="1" applyAlignment="1">
      <alignment horizontal="center" vertical="center" shrinkToFit="1"/>
    </xf>
    <xf numFmtId="0" fontId="22" fillId="0" borderId="8" xfId="35" applyFont="1" applyBorder="1" applyAlignment="1">
      <alignment horizontal="center" vertical="center" shrinkToFit="1"/>
    </xf>
    <xf numFmtId="0" fontId="22" fillId="0" borderId="23" xfId="35" applyFont="1" applyBorder="1" applyAlignment="1">
      <alignment horizontal="center" vertical="center" shrinkToFit="1"/>
    </xf>
    <xf numFmtId="0" fontId="22" fillId="0" borderId="2" xfId="35" applyFont="1" applyBorder="1" applyAlignment="1">
      <alignment horizontal="center" vertical="center" shrinkToFit="1"/>
    </xf>
    <xf numFmtId="0" fontId="22" fillId="0" borderId="46" xfId="35" applyFont="1" applyBorder="1" applyAlignment="1">
      <alignment horizontal="center" vertical="center" shrinkToFit="1"/>
    </xf>
    <xf numFmtId="0" fontId="12" fillId="0" borderId="11" xfId="35" applyFont="1" applyBorder="1" applyAlignment="1">
      <alignment horizontal="center" vertical="center"/>
    </xf>
    <xf numFmtId="0" fontId="12" fillId="0" borderId="16" xfId="35" applyFont="1" applyBorder="1" applyAlignment="1">
      <alignment horizontal="center" vertical="center"/>
    </xf>
    <xf numFmtId="0" fontId="12" fillId="0" borderId="20" xfId="35" applyFont="1" applyBorder="1" applyAlignment="1">
      <alignment horizontal="center" vertical="center"/>
    </xf>
    <xf numFmtId="0" fontId="12" fillId="0" borderId="6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/>
    </xf>
    <xf numFmtId="179" fontId="18" fillId="0" borderId="11" xfId="21" applyNumberFormat="1" applyFont="1" applyBorder="1" applyAlignment="1">
      <alignment horizontal="center" vertical="center"/>
    </xf>
    <xf numFmtId="179" fontId="18" fillId="0" borderId="16" xfId="21" applyNumberFormat="1" applyFont="1" applyBorder="1" applyAlignment="1">
      <alignment horizontal="center" vertical="center"/>
    </xf>
    <xf numFmtId="0" fontId="34" fillId="0" borderId="11" xfId="21" applyFont="1" applyBorder="1" applyAlignment="1">
      <alignment horizontal="center" vertical="center"/>
    </xf>
    <xf numFmtId="0" fontId="34" fillId="0" borderId="16" xfId="21" applyFont="1" applyBorder="1" applyAlignment="1">
      <alignment horizontal="center" vertical="center"/>
    </xf>
    <xf numFmtId="0" fontId="9" fillId="0" borderId="11" xfId="35" applyFont="1" applyBorder="1" applyAlignment="1">
      <alignment horizontal="center" vertical="center" wrapText="1"/>
    </xf>
    <xf numFmtId="0" fontId="9" fillId="0" borderId="11" xfId="35" applyFont="1" applyBorder="1" applyAlignment="1">
      <alignment horizontal="center" vertical="center"/>
    </xf>
    <xf numFmtId="0" fontId="12" fillId="14" borderId="12" xfId="35" applyFont="1" applyFill="1" applyBorder="1" applyAlignment="1">
      <alignment horizontal="center" vertical="center" shrinkToFit="1"/>
    </xf>
    <xf numFmtId="0" fontId="12" fillId="14" borderId="47" xfId="35" applyFont="1" applyFill="1" applyBorder="1" applyAlignment="1">
      <alignment horizontal="center" vertical="center" shrinkToFit="1"/>
    </xf>
    <xf numFmtId="179" fontId="18" fillId="0" borderId="20" xfId="21" applyNumberFormat="1" applyFont="1" applyBorder="1" applyAlignment="1">
      <alignment horizontal="center" vertical="center"/>
    </xf>
    <xf numFmtId="179" fontId="34" fillId="0" borderId="16" xfId="21" applyNumberFormat="1" applyFont="1" applyBorder="1" applyAlignment="1">
      <alignment horizontal="center" vertical="center"/>
    </xf>
    <xf numFmtId="0" fontId="34" fillId="0" borderId="20" xfId="21" applyFont="1" applyBorder="1" applyAlignment="1">
      <alignment horizontal="center" vertical="center"/>
    </xf>
    <xf numFmtId="0" fontId="12" fillId="0" borderId="6" xfId="35" applyFont="1" applyBorder="1" applyAlignment="1">
      <alignment horizontal="center" vertical="center" wrapText="1"/>
    </xf>
    <xf numFmtId="0" fontId="10" fillId="0" borderId="0" xfId="35" applyFont="1"/>
    <xf numFmtId="0" fontId="3" fillId="0" borderId="6" xfId="35" applyFont="1" applyBorder="1" applyAlignment="1">
      <alignment horizontal="center" vertical="center" shrinkToFit="1"/>
    </xf>
    <xf numFmtId="0" fontId="25" fillId="0" borderId="22" xfId="20" applyFont="1" applyBorder="1" applyAlignment="1">
      <alignment vertical="center" shrinkToFit="1"/>
    </xf>
    <xf numFmtId="49" fontId="26" fillId="0" borderId="6" xfId="35" applyNumberFormat="1" applyFont="1" applyBorder="1" applyAlignment="1">
      <alignment horizontal="center" vertical="center" shrinkToFit="1"/>
    </xf>
    <xf numFmtId="49" fontId="26" fillId="0" borderId="22" xfId="35" applyNumberFormat="1" applyFont="1" applyBorder="1" applyAlignment="1">
      <alignment horizontal="center" vertical="center" shrinkToFit="1"/>
    </xf>
    <xf numFmtId="49" fontId="12" fillId="0" borderId="6" xfId="35" applyNumberFormat="1" applyFont="1" applyBorder="1" applyAlignment="1">
      <alignment horizontal="center" vertical="center" wrapText="1" justifyLastLine="1"/>
    </xf>
    <xf numFmtId="49" fontId="10" fillId="0" borderId="4" xfId="20" applyNumberFormat="1" applyFont="1" applyBorder="1">
      <alignment vertical="center"/>
    </xf>
    <xf numFmtId="49" fontId="10" fillId="0" borderId="21" xfId="20" applyNumberFormat="1" applyFont="1" applyBorder="1">
      <alignment vertical="center"/>
    </xf>
    <xf numFmtId="49" fontId="10" fillId="0" borderId="23" xfId="20" applyNumberFormat="1" applyFont="1" applyBorder="1">
      <alignment vertical="center"/>
    </xf>
    <xf numFmtId="49" fontId="10" fillId="0" borderId="37" xfId="20" applyNumberFormat="1" applyFont="1" applyBorder="1">
      <alignment vertical="center"/>
    </xf>
    <xf numFmtId="49" fontId="10" fillId="0" borderId="12" xfId="20" applyNumberFormat="1" applyFont="1" applyBorder="1">
      <alignment vertical="center"/>
    </xf>
    <xf numFmtId="49" fontId="10" fillId="0" borderId="14" xfId="20" applyNumberFormat="1" applyFont="1" applyBorder="1">
      <alignment vertical="center"/>
    </xf>
    <xf numFmtId="49" fontId="10" fillId="0" borderId="47" xfId="20" applyNumberFormat="1" applyFont="1" applyBorder="1">
      <alignment vertical="center"/>
    </xf>
    <xf numFmtId="49" fontId="26" fillId="0" borderId="2" xfId="35" applyNumberFormat="1" applyFont="1" applyBorder="1" applyAlignment="1">
      <alignment horizontal="center" vertical="center" shrinkToFit="1"/>
    </xf>
    <xf numFmtId="49" fontId="26" fillId="0" borderId="21" xfId="35" applyNumberFormat="1" applyFont="1" applyBorder="1" applyAlignment="1">
      <alignment horizontal="center" vertical="center" shrinkToFit="1"/>
    </xf>
    <xf numFmtId="49" fontId="26" fillId="0" borderId="12" xfId="35" applyNumberFormat="1" applyFont="1" applyBorder="1" applyAlignment="1">
      <alignment horizontal="center" vertical="center" shrinkToFit="1"/>
    </xf>
    <xf numFmtId="49" fontId="26" fillId="0" borderId="47" xfId="35" applyNumberFormat="1" applyFont="1" applyBorder="1" applyAlignment="1">
      <alignment horizontal="center" vertical="center" shrinkToFit="1"/>
    </xf>
    <xf numFmtId="0" fontId="3" fillId="0" borderId="6" xfId="35" applyFont="1" applyBorder="1" applyAlignment="1">
      <alignment horizontal="center" vertical="center" wrapText="1" justifyLastLine="1"/>
    </xf>
    <xf numFmtId="0" fontId="3" fillId="0" borderId="8" xfId="35" applyFont="1" applyBorder="1" applyAlignment="1">
      <alignment horizontal="center" vertical="center" wrapText="1" justifyLastLine="1"/>
    </xf>
    <xf numFmtId="0" fontId="3" fillId="0" borderId="22" xfId="35" applyFont="1" applyBorder="1" applyAlignment="1">
      <alignment horizontal="center" vertical="center" wrapText="1" justifyLastLine="1"/>
    </xf>
    <xf numFmtId="0" fontId="3" fillId="0" borderId="8" xfId="35" applyFont="1" applyBorder="1" applyAlignment="1">
      <alignment vertical="center" wrapText="1"/>
    </xf>
    <xf numFmtId="0" fontId="3" fillId="0" borderId="8" xfId="35" applyFont="1" applyBorder="1" applyAlignment="1"/>
    <xf numFmtId="49" fontId="12" fillId="0" borderId="2" xfId="35" applyNumberFormat="1" applyFont="1" applyBorder="1" applyAlignment="1">
      <alignment vertical="center" wrapText="1"/>
    </xf>
    <xf numFmtId="49" fontId="12" fillId="0" borderId="4" xfId="35" applyNumberFormat="1" applyFont="1" applyBorder="1" applyAlignment="1">
      <alignment vertical="center" wrapText="1"/>
    </xf>
    <xf numFmtId="49" fontId="12" fillId="0" borderId="23" xfId="35" applyNumberFormat="1" applyFont="1" applyBorder="1" applyAlignment="1">
      <alignment vertical="center" wrapText="1"/>
    </xf>
    <xf numFmtId="49" fontId="12" fillId="0" borderId="12" xfId="35" applyNumberFormat="1" applyFont="1" applyBorder="1" applyAlignment="1">
      <alignment vertical="center" wrapText="1"/>
    </xf>
    <xf numFmtId="49" fontId="12" fillId="0" borderId="14" xfId="35" applyNumberFormat="1" applyFont="1" applyBorder="1" applyAlignment="1">
      <alignment vertical="center" wrapText="1"/>
    </xf>
    <xf numFmtId="49" fontId="31" fillId="0" borderId="2" xfId="35" applyNumberFormat="1" applyFont="1" applyBorder="1" applyAlignment="1">
      <alignment horizontal="center" vertical="center" wrapText="1" justifyLastLine="1"/>
    </xf>
    <xf numFmtId="49" fontId="31" fillId="0" borderId="4" xfId="35" applyNumberFormat="1" applyFont="1" applyBorder="1" applyAlignment="1">
      <alignment horizontal="center" vertical="center" wrapText="1" justifyLastLine="1"/>
    </xf>
    <xf numFmtId="49" fontId="31" fillId="0" borderId="23" xfId="35" applyNumberFormat="1" applyFont="1" applyBorder="1" applyAlignment="1">
      <alignment horizontal="center" vertical="center" wrapText="1" justifyLastLine="1"/>
    </xf>
    <xf numFmtId="49" fontId="31" fillId="0" borderId="12" xfId="35" applyNumberFormat="1" applyFont="1" applyBorder="1" applyAlignment="1">
      <alignment horizontal="center" vertical="center" wrapText="1" justifyLastLine="1"/>
    </xf>
    <xf numFmtId="49" fontId="31" fillId="0" borderId="14" xfId="35" applyNumberFormat="1" applyFont="1" applyBorder="1" applyAlignment="1">
      <alignment horizontal="center" vertical="center" wrapText="1" justifyLastLine="1"/>
    </xf>
    <xf numFmtId="0" fontId="3" fillId="0" borderId="6" xfId="35" applyFont="1" applyBorder="1" applyAlignment="1">
      <alignment horizontal="center" vertical="center" wrapText="1" shrinkToFit="1"/>
    </xf>
    <xf numFmtId="0" fontId="3" fillId="0" borderId="8" xfId="35" applyFont="1" applyBorder="1" applyAlignment="1">
      <alignment horizontal="center" vertical="center" shrinkToFit="1"/>
    </xf>
    <xf numFmtId="0" fontId="3" fillId="0" borderId="2" xfId="35" applyFont="1" applyBorder="1" applyAlignment="1">
      <alignment horizontal="center" vertical="center" wrapText="1" shrinkToFit="1"/>
    </xf>
    <xf numFmtId="0" fontId="3" fillId="0" borderId="4" xfId="35" applyFont="1" applyBorder="1" applyAlignment="1">
      <alignment horizontal="center" vertical="center" wrapText="1" shrinkToFit="1"/>
    </xf>
    <xf numFmtId="0" fontId="3" fillId="0" borderId="23" xfId="35" applyFont="1" applyBorder="1" applyAlignment="1">
      <alignment horizontal="center" vertical="center" wrapText="1" shrinkToFit="1"/>
    </xf>
    <xf numFmtId="0" fontId="3" fillId="0" borderId="0" xfId="35" applyFont="1" applyBorder="1" applyAlignment="1">
      <alignment horizontal="center" vertical="center" wrapText="1" shrinkToFit="1"/>
    </xf>
    <xf numFmtId="0" fontId="3" fillId="0" borderId="12" xfId="35" applyFont="1" applyBorder="1" applyAlignment="1">
      <alignment horizontal="center" vertical="center" wrapText="1" shrinkToFit="1"/>
    </xf>
    <xf numFmtId="0" fontId="3" fillId="0" borderId="14" xfId="35" applyFont="1" applyBorder="1" applyAlignment="1">
      <alignment horizontal="center" vertical="center" wrapText="1" shrinkToFit="1"/>
    </xf>
    <xf numFmtId="49" fontId="12" fillId="0" borderId="8" xfId="35" applyNumberFormat="1" applyFont="1" applyBorder="1" applyAlignment="1">
      <alignment vertical="center" wrapText="1"/>
    </xf>
    <xf numFmtId="49" fontId="12" fillId="0" borderId="8" xfId="35" applyNumberFormat="1" applyFont="1" applyBorder="1"/>
    <xf numFmtId="0" fontId="7" fillId="0" borderId="28" xfId="21" applyNumberFormat="1" applyFont="1" applyBorder="1" applyAlignment="1">
      <alignment horizontal="center" vertical="center"/>
    </xf>
    <xf numFmtId="0" fontId="7" fillId="0" borderId="29" xfId="21" applyNumberFormat="1" applyFont="1" applyBorder="1" applyAlignment="1">
      <alignment horizontal="center" vertical="center"/>
    </xf>
    <xf numFmtId="0" fontId="7" fillId="0" borderId="30" xfId="21" applyNumberFormat="1" applyFont="1" applyBorder="1" applyAlignment="1">
      <alignment horizontal="center" vertical="center"/>
    </xf>
    <xf numFmtId="0" fontId="8" fillId="0" borderId="33" xfId="21" applyNumberFormat="1" applyFont="1" applyBorder="1" applyAlignment="1">
      <alignment horizontal="center" vertical="center"/>
    </xf>
    <xf numFmtId="0" fontId="8" fillId="0" borderId="34" xfId="21" applyNumberFormat="1" applyFont="1" applyBorder="1" applyAlignment="1">
      <alignment horizontal="center" vertical="center"/>
    </xf>
    <xf numFmtId="0" fontId="8" fillId="0" borderId="35" xfId="21" applyNumberFormat="1" applyFont="1" applyBorder="1" applyAlignment="1">
      <alignment horizontal="center" vertical="center"/>
    </xf>
    <xf numFmtId="49" fontId="7" fillId="0" borderId="25" xfId="21" applyNumberFormat="1" applyFont="1" applyBorder="1" applyAlignment="1">
      <alignment horizontal="center" vertical="center" shrinkToFit="1"/>
    </xf>
    <xf numFmtId="49" fontId="7" fillId="0" borderId="27" xfId="21" applyNumberFormat="1" applyFont="1" applyBorder="1" applyAlignment="1">
      <alignment horizontal="center" vertical="center" shrinkToFit="1"/>
    </xf>
    <xf numFmtId="0" fontId="7" fillId="0" borderId="25" xfId="21" applyNumberFormat="1" applyFont="1" applyBorder="1" applyAlignment="1">
      <alignment horizontal="center" vertical="center"/>
    </xf>
    <xf numFmtId="0" fontId="7" fillId="0" borderId="26" xfId="21" applyNumberFormat="1" applyFont="1" applyBorder="1" applyAlignment="1">
      <alignment horizontal="center" vertical="center"/>
    </xf>
    <xf numFmtId="0" fontId="7" fillId="0" borderId="27" xfId="21" applyNumberFormat="1" applyFont="1" applyBorder="1" applyAlignment="1">
      <alignment horizontal="center" vertical="center"/>
    </xf>
    <xf numFmtId="49" fontId="7" fillId="0" borderId="28" xfId="21" applyNumberFormat="1" applyFont="1" applyBorder="1" applyAlignment="1">
      <alignment horizontal="center" vertical="center" shrinkToFit="1"/>
    </xf>
    <xf numFmtId="49" fontId="7" fillId="0" borderId="30" xfId="21" applyNumberFormat="1" applyFont="1" applyBorder="1" applyAlignment="1">
      <alignment horizontal="center" vertical="center" shrinkToFit="1"/>
    </xf>
    <xf numFmtId="49" fontId="7" fillId="0" borderId="33" xfId="21" applyNumberFormat="1" applyFont="1" applyBorder="1" applyAlignment="1">
      <alignment horizontal="center" vertical="center" shrinkToFit="1"/>
    </xf>
    <xf numFmtId="49" fontId="7" fillId="0" borderId="35" xfId="21" applyNumberFormat="1" applyFont="1" applyBorder="1" applyAlignment="1">
      <alignment horizontal="center" vertical="center" shrinkToFit="1"/>
    </xf>
    <xf numFmtId="0" fontId="7" fillId="0" borderId="25" xfId="21" applyNumberFormat="1" applyFont="1" applyFill="1" applyBorder="1" applyAlignment="1">
      <alignment horizontal="center" vertical="center"/>
    </xf>
    <xf numFmtId="0" fontId="7" fillId="0" borderId="26" xfId="21" applyNumberFormat="1" applyFont="1" applyFill="1" applyBorder="1" applyAlignment="1">
      <alignment horizontal="center" vertical="center"/>
    </xf>
    <xf numFmtId="0" fontId="7" fillId="0" borderId="27" xfId="21" applyNumberFormat="1" applyFont="1" applyFill="1" applyBorder="1" applyAlignment="1">
      <alignment horizontal="center" vertical="center"/>
    </xf>
    <xf numFmtId="49" fontId="7" fillId="0" borderId="25" xfId="21" applyNumberFormat="1" applyFont="1" applyFill="1" applyBorder="1" applyAlignment="1">
      <alignment horizontal="center" vertical="center" shrinkToFit="1"/>
    </xf>
    <xf numFmtId="49" fontId="7" fillId="0" borderId="27" xfId="21" applyNumberFormat="1" applyFont="1" applyFill="1" applyBorder="1" applyAlignment="1">
      <alignment horizontal="center" vertical="center" shrinkToFit="1"/>
    </xf>
    <xf numFmtId="49" fontId="7" fillId="0" borderId="33" xfId="21" applyNumberFormat="1" applyFont="1" applyFill="1" applyBorder="1" applyAlignment="1">
      <alignment horizontal="center" vertical="center" shrinkToFit="1"/>
    </xf>
    <xf numFmtId="49" fontId="7" fillId="0" borderId="35" xfId="21" applyNumberFormat="1" applyFont="1" applyFill="1" applyBorder="1" applyAlignment="1">
      <alignment horizontal="center" vertical="center" shrinkToFit="1"/>
    </xf>
    <xf numFmtId="0" fontId="8" fillId="0" borderId="33" xfId="21" applyNumberFormat="1" applyFont="1" applyFill="1" applyBorder="1" applyAlignment="1">
      <alignment horizontal="center" vertical="center"/>
    </xf>
    <xf numFmtId="0" fontId="8" fillId="0" borderId="34" xfId="21" applyNumberFormat="1" applyFont="1" applyFill="1" applyBorder="1" applyAlignment="1">
      <alignment horizontal="center" vertical="center"/>
    </xf>
    <xf numFmtId="0" fontId="8" fillId="0" borderId="35" xfId="21" applyNumberFormat="1" applyFont="1" applyFill="1" applyBorder="1" applyAlignment="1">
      <alignment horizontal="center" vertical="center"/>
    </xf>
    <xf numFmtId="49" fontId="7" fillId="0" borderId="28" xfId="21" applyNumberFormat="1" applyFont="1" applyFill="1" applyBorder="1" applyAlignment="1">
      <alignment horizontal="center" vertical="center" shrinkToFit="1"/>
    </xf>
    <xf numFmtId="49" fontId="7" fillId="0" borderId="30" xfId="21" applyNumberFormat="1" applyFont="1" applyFill="1" applyBorder="1" applyAlignment="1">
      <alignment horizontal="center" vertical="center" shrinkToFit="1"/>
    </xf>
    <xf numFmtId="0" fontId="7" fillId="0" borderId="28" xfId="21" applyNumberFormat="1" applyFont="1" applyFill="1" applyBorder="1" applyAlignment="1">
      <alignment horizontal="center" vertical="center"/>
    </xf>
    <xf numFmtId="0" fontId="7" fillId="0" borderId="29" xfId="21" applyNumberFormat="1" applyFont="1" applyFill="1" applyBorder="1" applyAlignment="1">
      <alignment horizontal="center" vertical="center"/>
    </xf>
    <xf numFmtId="0" fontId="7" fillId="0" borderId="30" xfId="21" applyNumberFormat="1" applyFont="1" applyFill="1" applyBorder="1" applyAlignment="1">
      <alignment horizontal="center" vertical="center"/>
    </xf>
    <xf numFmtId="0" fontId="8" fillId="0" borderId="25" xfId="21" applyNumberFormat="1" applyFont="1" applyBorder="1" applyAlignment="1">
      <alignment horizontal="center" vertical="center"/>
    </xf>
    <xf numFmtId="0" fontId="8" fillId="0" borderId="26" xfId="21" applyNumberFormat="1" applyFont="1" applyBorder="1" applyAlignment="1">
      <alignment horizontal="center" vertical="center"/>
    </xf>
    <xf numFmtId="0" fontId="8" fillId="0" borderId="27" xfId="21" applyNumberFormat="1" applyFont="1" applyBorder="1" applyAlignment="1">
      <alignment horizontal="center" vertical="center"/>
    </xf>
    <xf numFmtId="0" fontId="36" fillId="0" borderId="16" xfId="29" applyFont="1" applyFill="1" applyBorder="1" applyAlignment="1">
      <alignment horizontal="left" vertical="center" shrinkToFit="1"/>
    </xf>
    <xf numFmtId="0" fontId="41" fillId="0" borderId="16" xfId="29" applyFont="1" applyFill="1" applyBorder="1" applyAlignment="1">
      <alignment horizontal="center" vertical="center" shrinkToFit="1"/>
    </xf>
    <xf numFmtId="0" fontId="35" fillId="0" borderId="16" xfId="29" applyFont="1" applyFill="1" applyBorder="1" applyAlignment="1">
      <alignment horizontal="center" vertical="center" shrinkToFit="1"/>
    </xf>
    <xf numFmtId="0" fontId="36" fillId="0" borderId="16" xfId="29" applyFont="1" applyFill="1" applyBorder="1" applyAlignment="1">
      <alignment horizontal="center" vertical="center" shrinkToFit="1"/>
    </xf>
    <xf numFmtId="0" fontId="37" fillId="0" borderId="16" xfId="29" applyFont="1" applyFill="1" applyBorder="1" applyAlignment="1">
      <alignment horizontal="center" vertical="center" shrinkToFit="1"/>
    </xf>
    <xf numFmtId="0" fontId="41" fillId="0" borderId="16" xfId="29" applyFont="1" applyFill="1" applyBorder="1" applyAlignment="1">
      <alignment horizontal="center" vertical="center"/>
    </xf>
    <xf numFmtId="0" fontId="41" fillId="0" borderId="16" xfId="29" applyNumberFormat="1" applyFont="1" applyFill="1" applyBorder="1" applyAlignment="1">
      <alignment horizontal="right" vertical="center"/>
    </xf>
    <xf numFmtId="0" fontId="44" fillId="0" borderId="16" xfId="29" applyNumberFormat="1" applyFont="1" applyFill="1" applyBorder="1" applyAlignment="1">
      <alignment horizontal="right" vertical="center"/>
    </xf>
    <xf numFmtId="0" fontId="44" fillId="0" borderId="16" xfId="29" applyFont="1" applyFill="1" applyBorder="1" applyAlignment="1">
      <alignment vertical="center"/>
    </xf>
    <xf numFmtId="20" fontId="41" fillId="0" borderId="16" xfId="29" applyNumberFormat="1" applyFont="1" applyFill="1" applyBorder="1" applyAlignment="1">
      <alignment horizontal="center" vertical="center" shrinkToFit="1"/>
    </xf>
    <xf numFmtId="180" fontId="41" fillId="0" borderId="2" xfId="29" applyNumberFormat="1" applyFont="1" applyFill="1" applyBorder="1" applyAlignment="1">
      <alignment horizontal="center" vertical="center" shrinkToFit="1"/>
    </xf>
    <xf numFmtId="180" fontId="41" fillId="0" borderId="4" xfId="29" applyNumberFormat="1" applyFont="1" applyFill="1" applyBorder="1" applyAlignment="1">
      <alignment horizontal="center" vertical="center" shrinkToFit="1"/>
    </xf>
    <xf numFmtId="180" fontId="41" fillId="0" borderId="21" xfId="29" applyNumberFormat="1" applyFont="1" applyFill="1" applyBorder="1" applyAlignment="1">
      <alignment horizontal="center" vertical="center" shrinkToFit="1"/>
    </xf>
    <xf numFmtId="180" fontId="41" fillId="0" borderId="12" xfId="29" applyNumberFormat="1" applyFont="1" applyFill="1" applyBorder="1" applyAlignment="1">
      <alignment horizontal="center" vertical="center" shrinkToFit="1"/>
    </xf>
    <xf numFmtId="180" fontId="41" fillId="0" borderId="14" xfId="29" applyNumberFormat="1" applyFont="1" applyFill="1" applyBorder="1" applyAlignment="1">
      <alignment horizontal="center" vertical="center" shrinkToFit="1"/>
    </xf>
    <xf numFmtId="180" fontId="41" fillId="0" borderId="47" xfId="29" applyNumberFormat="1" applyFont="1" applyFill="1" applyBorder="1" applyAlignment="1">
      <alignment horizontal="center" vertical="center" shrinkToFit="1"/>
    </xf>
    <xf numFmtId="0" fontId="41" fillId="0" borderId="16" xfId="29" applyNumberFormat="1" applyFont="1" applyFill="1" applyBorder="1" applyAlignment="1">
      <alignment horizontal="center" vertical="center"/>
    </xf>
    <xf numFmtId="0" fontId="44" fillId="0" borderId="16" xfId="29" applyNumberFormat="1" applyFont="1" applyFill="1" applyBorder="1" applyAlignment="1">
      <alignment horizontal="center" vertical="center"/>
    </xf>
    <xf numFmtId="49" fontId="41" fillId="0" borderId="16" xfId="29" applyNumberFormat="1" applyFont="1" applyFill="1" applyBorder="1" applyAlignment="1">
      <alignment horizontal="center" vertical="center"/>
    </xf>
    <xf numFmtId="0" fontId="44" fillId="0" borderId="16" xfId="29" applyNumberFormat="1" applyFont="1" applyFill="1" applyBorder="1" applyAlignment="1">
      <alignment vertical="center"/>
    </xf>
    <xf numFmtId="180" fontId="41" fillId="0" borderId="2" xfId="0" applyNumberFormat="1" applyFont="1" applyFill="1" applyBorder="1" applyAlignment="1">
      <alignment horizontal="center" vertical="center" shrinkToFit="1"/>
    </xf>
    <xf numFmtId="180" fontId="41" fillId="0" borderId="4" xfId="0" applyNumberFormat="1" applyFont="1" applyFill="1" applyBorder="1" applyAlignment="1">
      <alignment horizontal="center" vertical="center" shrinkToFit="1"/>
    </xf>
    <xf numFmtId="180" fontId="41" fillId="0" borderId="21" xfId="0" applyNumberFormat="1" applyFont="1" applyFill="1" applyBorder="1" applyAlignment="1">
      <alignment horizontal="center" vertical="center" shrinkToFit="1"/>
    </xf>
    <xf numFmtId="180" fontId="41" fillId="0" borderId="12" xfId="0" applyNumberFormat="1" applyFont="1" applyFill="1" applyBorder="1" applyAlignment="1">
      <alignment horizontal="center" vertical="center" shrinkToFit="1"/>
    </xf>
    <xf numFmtId="180" fontId="41" fillId="0" borderId="14" xfId="0" applyNumberFormat="1" applyFont="1" applyFill="1" applyBorder="1" applyAlignment="1">
      <alignment horizontal="center" vertical="center" shrinkToFit="1"/>
    </xf>
    <xf numFmtId="180" fontId="41" fillId="0" borderId="47" xfId="0" applyNumberFormat="1" applyFont="1" applyFill="1" applyBorder="1" applyAlignment="1">
      <alignment horizontal="center" vertical="center" shrinkToFit="1"/>
    </xf>
    <xf numFmtId="0" fontId="35" fillId="0" borderId="16" xfId="29" applyNumberFormat="1" applyFont="1" applyFill="1" applyBorder="1" applyAlignment="1">
      <alignment horizontal="center" vertical="center" shrinkToFit="1"/>
    </xf>
    <xf numFmtId="0" fontId="39" fillId="0" borderId="16" xfId="29" applyNumberFormat="1" applyFont="1" applyFill="1" applyBorder="1" applyAlignment="1">
      <alignment horizontal="center" vertical="center" shrinkToFit="1"/>
    </xf>
    <xf numFmtId="0" fontId="42" fillId="0" borderId="16" xfId="29" applyFont="1" applyFill="1" applyBorder="1" applyAlignment="1">
      <alignment horizontal="center" vertical="center" shrinkToFit="1"/>
    </xf>
    <xf numFmtId="0" fontId="42" fillId="0" borderId="16" xfId="29" applyFont="1" applyFill="1" applyBorder="1" applyAlignment="1">
      <alignment horizontal="center" vertical="center"/>
    </xf>
    <xf numFmtId="0" fontId="43" fillId="0" borderId="16" xfId="29" applyFont="1" applyFill="1" applyBorder="1" applyAlignment="1">
      <alignment horizontal="center" vertical="center" shrinkToFit="1"/>
    </xf>
    <xf numFmtId="0" fontId="47" fillId="0" borderId="16" xfId="29" applyNumberFormat="1" applyFont="1" applyFill="1" applyBorder="1" applyAlignment="1">
      <alignment horizontal="center" vertical="center"/>
    </xf>
    <xf numFmtId="0" fontId="47" fillId="0" borderId="16" xfId="29" applyNumberFormat="1" applyFont="1" applyFill="1" applyBorder="1" applyAlignment="1">
      <alignment vertical="center"/>
    </xf>
    <xf numFmtId="0" fontId="37" fillId="0" borderId="16" xfId="29" applyNumberFormat="1" applyFont="1" applyFill="1" applyBorder="1" applyAlignment="1">
      <alignment horizontal="center" vertical="center"/>
    </xf>
    <xf numFmtId="0" fontId="37" fillId="0" borderId="16" xfId="29" applyNumberFormat="1" applyFont="1" applyFill="1" applyBorder="1" applyAlignment="1">
      <alignment vertical="center"/>
    </xf>
    <xf numFmtId="0" fontId="35" fillId="0" borderId="0" xfId="29" applyFont="1" applyFill="1" applyAlignment="1">
      <alignment horizontal="center" vertical="center"/>
    </xf>
    <xf numFmtId="0" fontId="35" fillId="0" borderId="16" xfId="29" applyFont="1" applyFill="1" applyBorder="1" applyAlignment="1">
      <alignment horizontal="center" vertical="center"/>
    </xf>
    <xf numFmtId="0" fontId="35" fillId="0" borderId="6" xfId="29" applyNumberFormat="1" applyFont="1" applyFill="1" applyBorder="1" applyAlignment="1">
      <alignment horizontal="center" vertical="center"/>
    </xf>
    <xf numFmtId="0" fontId="35" fillId="0" borderId="8" xfId="29" applyNumberFormat="1" applyFont="1" applyFill="1" applyBorder="1" applyAlignment="1">
      <alignment horizontal="center" vertical="center"/>
    </xf>
    <xf numFmtId="0" fontId="35" fillId="0" borderId="22" xfId="29" applyNumberFormat="1" applyFont="1" applyFill="1" applyBorder="1" applyAlignment="1">
      <alignment horizontal="center" vertical="center"/>
    </xf>
    <xf numFmtId="0" fontId="35" fillId="0" borderId="16" xfId="29" applyNumberFormat="1" applyFont="1" applyFill="1" applyBorder="1" applyAlignment="1">
      <alignment horizontal="center" vertical="center"/>
    </xf>
    <xf numFmtId="14" fontId="35" fillId="0" borderId="6" xfId="29" applyNumberFormat="1" applyFont="1" applyFill="1" applyBorder="1" applyAlignment="1">
      <alignment horizontal="right" vertical="center" shrinkToFit="1"/>
    </xf>
    <xf numFmtId="14" fontId="35" fillId="0" borderId="8" xfId="29" applyNumberFormat="1" applyFont="1" applyFill="1" applyBorder="1" applyAlignment="1">
      <alignment horizontal="right" vertical="center" shrinkToFit="1"/>
    </xf>
    <xf numFmtId="178" fontId="37" fillId="0" borderId="8" xfId="29" applyNumberFormat="1" applyFont="1" applyFill="1" applyBorder="1" applyAlignment="1">
      <alignment horizontal="left" vertical="center" shrinkToFit="1"/>
    </xf>
    <xf numFmtId="178" fontId="37" fillId="0" borderId="22" xfId="29" applyNumberFormat="1" applyFont="1" applyFill="1" applyBorder="1" applyAlignment="1">
      <alignment horizontal="left" vertical="center" shrinkToFit="1"/>
    </xf>
    <xf numFmtId="0" fontId="39" fillId="0" borderId="16" xfId="29" applyNumberFormat="1" applyFont="1" applyFill="1" applyBorder="1" applyAlignment="1">
      <alignment horizontal="center" vertical="center"/>
    </xf>
    <xf numFmtId="0" fontId="39" fillId="0" borderId="16" xfId="29" applyNumberFormat="1" applyFont="1" applyFill="1" applyBorder="1" applyAlignment="1">
      <alignment vertical="center"/>
    </xf>
    <xf numFmtId="0" fontId="35" fillId="0" borderId="16" xfId="29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56" fontId="44" fillId="0" borderId="0" xfId="0" quotePrefix="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56" fontId="44" fillId="0" borderId="0" xfId="0" quotePrefix="1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1" fillId="0" borderId="2" xfId="29" applyFont="1" applyFill="1" applyBorder="1" applyAlignment="1">
      <alignment horizontal="center" vertical="center"/>
    </xf>
    <xf numFmtId="0" fontId="41" fillId="0" borderId="21" xfId="29" applyFont="1" applyFill="1" applyBorder="1" applyAlignment="1">
      <alignment horizontal="center" vertical="center"/>
    </xf>
    <xf numFmtId="0" fontId="41" fillId="0" borderId="12" xfId="29" applyFont="1" applyFill="1" applyBorder="1" applyAlignment="1">
      <alignment horizontal="center" vertical="center"/>
    </xf>
    <xf numFmtId="0" fontId="41" fillId="0" borderId="47" xfId="29" applyFont="1" applyFill="1" applyBorder="1" applyAlignment="1">
      <alignment horizontal="center" vertical="center"/>
    </xf>
    <xf numFmtId="0" fontId="44" fillId="0" borderId="2" xfId="29" applyFont="1" applyFill="1" applyBorder="1" applyAlignment="1">
      <alignment vertical="center"/>
    </xf>
    <xf numFmtId="0" fontId="44" fillId="0" borderId="4" xfId="29" applyFont="1" applyFill="1" applyBorder="1" applyAlignment="1">
      <alignment vertical="center"/>
    </xf>
    <xf numFmtId="0" fontId="44" fillId="0" borderId="21" xfId="29" applyFont="1" applyFill="1" applyBorder="1" applyAlignment="1">
      <alignment vertical="center"/>
    </xf>
    <xf numFmtId="0" fontId="44" fillId="0" borderId="12" xfId="29" applyFont="1" applyFill="1" applyBorder="1" applyAlignment="1">
      <alignment vertical="center"/>
    </xf>
    <xf numFmtId="0" fontId="44" fillId="0" borderId="14" xfId="29" applyFont="1" applyFill="1" applyBorder="1" applyAlignment="1">
      <alignment vertical="center"/>
    </xf>
    <xf numFmtId="0" fontId="44" fillId="0" borderId="47" xfId="29" applyFont="1" applyFill="1" applyBorder="1" applyAlignment="1">
      <alignment vertical="center"/>
    </xf>
    <xf numFmtId="0" fontId="41" fillId="0" borderId="4" xfId="29" applyFont="1" applyFill="1" applyBorder="1" applyAlignment="1">
      <alignment horizontal="center" vertical="center"/>
    </xf>
    <xf numFmtId="0" fontId="41" fillId="0" borderId="14" xfId="29" applyFont="1" applyFill="1" applyBorder="1" applyAlignment="1">
      <alignment horizontal="center" vertical="center"/>
    </xf>
    <xf numFmtId="0" fontId="62" fillId="0" borderId="16" xfId="29" applyFont="1" applyFill="1" applyBorder="1" applyAlignment="1">
      <alignment horizontal="center" vertical="center"/>
    </xf>
    <xf numFmtId="0" fontId="41" fillId="0" borderId="2" xfId="29" applyNumberFormat="1" applyFont="1" applyFill="1" applyBorder="1" applyAlignment="1">
      <alignment horizontal="center" vertical="center"/>
    </xf>
    <xf numFmtId="0" fontId="41" fillId="0" borderId="4" xfId="29" applyNumberFormat="1" applyFont="1" applyFill="1" applyBorder="1" applyAlignment="1">
      <alignment horizontal="center" vertical="center"/>
    </xf>
    <xf numFmtId="0" fontId="41" fillId="0" borderId="21" xfId="29" applyNumberFormat="1" applyFont="1" applyFill="1" applyBorder="1" applyAlignment="1">
      <alignment horizontal="center" vertical="center"/>
    </xf>
    <xf numFmtId="0" fontId="41" fillId="0" borderId="12" xfId="29" applyNumberFormat="1" applyFont="1" applyFill="1" applyBorder="1" applyAlignment="1">
      <alignment horizontal="center" vertical="center"/>
    </xf>
    <xf numFmtId="0" fontId="41" fillId="0" borderId="14" xfId="29" applyNumberFormat="1" applyFont="1" applyFill="1" applyBorder="1" applyAlignment="1">
      <alignment horizontal="center" vertical="center"/>
    </xf>
    <xf numFmtId="0" fontId="41" fillId="0" borderId="47" xfId="29" applyNumberFormat="1" applyFont="1" applyFill="1" applyBorder="1" applyAlignment="1">
      <alignment horizontal="center" vertical="center"/>
    </xf>
    <xf numFmtId="0" fontId="7" fillId="0" borderId="55" xfId="36" applyFont="1" applyFill="1" applyBorder="1" applyAlignment="1">
      <alignment horizontal="center" vertical="center" shrinkToFit="1"/>
    </xf>
    <xf numFmtId="0" fontId="7" fillId="0" borderId="54" xfId="36" applyFont="1" applyFill="1" applyBorder="1" applyAlignment="1">
      <alignment horizontal="center" vertical="center" shrinkToFit="1"/>
    </xf>
    <xf numFmtId="0" fontId="7" fillId="0" borderId="51" xfId="36" applyFont="1" applyFill="1" applyBorder="1" applyAlignment="1">
      <alignment horizontal="center" vertical="center" shrinkToFit="1"/>
    </xf>
    <xf numFmtId="0" fontId="7" fillId="0" borderId="49" xfId="36" applyFont="1" applyFill="1" applyBorder="1" applyAlignment="1">
      <alignment horizontal="center" vertical="center" shrinkToFit="1"/>
    </xf>
    <xf numFmtId="0" fontId="7" fillId="0" borderId="56" xfId="36" applyFont="1" applyFill="1" applyBorder="1" applyAlignment="1">
      <alignment horizontal="center" vertical="center" shrinkToFit="1"/>
    </xf>
    <xf numFmtId="49" fontId="7" fillId="0" borderId="45" xfId="36" applyNumberFormat="1" applyFont="1" applyFill="1" applyBorder="1" applyAlignment="1">
      <alignment horizontal="center" vertical="center" wrapText="1"/>
    </xf>
    <xf numFmtId="49" fontId="7" fillId="0" borderId="62" xfId="36" applyNumberFormat="1" applyFont="1" applyFill="1" applyBorder="1" applyAlignment="1">
      <alignment horizontal="center" vertical="center" wrapText="1"/>
    </xf>
    <xf numFmtId="49" fontId="7" fillId="0" borderId="78" xfId="36" applyNumberFormat="1" applyFont="1" applyFill="1" applyBorder="1" applyAlignment="1">
      <alignment horizontal="center" vertical="center" wrapText="1"/>
    </xf>
    <xf numFmtId="49" fontId="7" fillId="0" borderId="79" xfId="36" applyNumberFormat="1" applyFont="1" applyFill="1" applyBorder="1" applyAlignment="1">
      <alignment horizontal="center" vertical="center" wrapText="1"/>
    </xf>
    <xf numFmtId="49" fontId="7" fillId="0" borderId="80" xfId="36" applyNumberFormat="1" applyFont="1" applyFill="1" applyBorder="1" applyAlignment="1">
      <alignment horizontal="center" vertical="center" wrapText="1"/>
    </xf>
    <xf numFmtId="0" fontId="7" fillId="0" borderId="50" xfId="36" applyFont="1" applyFill="1" applyBorder="1" applyAlignment="1">
      <alignment horizontal="center" vertical="center" shrinkToFit="1"/>
    </xf>
    <xf numFmtId="0" fontId="7" fillId="0" borderId="52" xfId="36" applyFont="1" applyFill="1" applyBorder="1" applyAlignment="1">
      <alignment horizontal="center" vertical="center" shrinkToFit="1"/>
    </xf>
    <xf numFmtId="0" fontId="7" fillId="0" borderId="53" xfId="36" applyFont="1" applyFill="1" applyBorder="1" applyAlignment="1">
      <alignment horizontal="center" vertical="center" shrinkToFit="1"/>
    </xf>
    <xf numFmtId="49" fontId="7" fillId="0" borderId="87" xfId="36" applyNumberFormat="1" applyFont="1" applyFill="1" applyBorder="1" applyAlignment="1">
      <alignment horizontal="center" vertical="center" wrapText="1"/>
    </xf>
    <xf numFmtId="49" fontId="7" fillId="0" borderId="88" xfId="36" applyNumberFormat="1" applyFont="1" applyFill="1" applyBorder="1" applyAlignment="1">
      <alignment horizontal="center" vertical="center" wrapText="1"/>
    </xf>
    <xf numFmtId="49" fontId="7" fillId="0" borderId="90" xfId="36" applyNumberFormat="1" applyFont="1" applyFill="1" applyBorder="1" applyAlignment="1">
      <alignment horizontal="center" vertical="center" wrapText="1"/>
    </xf>
    <xf numFmtId="49" fontId="7" fillId="0" borderId="96" xfId="36" applyNumberFormat="1" applyFont="1" applyFill="1" applyBorder="1" applyAlignment="1">
      <alignment horizontal="center" vertical="center" wrapText="1"/>
    </xf>
    <xf numFmtId="0" fontId="7" fillId="0" borderId="0" xfId="36" applyFill="1" applyAlignment="1">
      <alignment horizontal="center" vertical="center"/>
    </xf>
    <xf numFmtId="0" fontId="1" fillId="0" borderId="0" xfId="21" applyFont="1" applyBorder="1" applyAlignment="1" applyProtection="1">
      <alignment horizontal="left"/>
      <protection hidden="1"/>
    </xf>
    <xf numFmtId="0" fontId="1" fillId="0" borderId="0" xfId="2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21" applyFont="1" applyBorder="1" applyAlignment="1" applyProtection="1">
      <alignment horizontal="center"/>
      <protection hidden="1"/>
    </xf>
    <xf numFmtId="0" fontId="1" fillId="0" borderId="0" xfId="2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2" xfId="21" applyFill="1" applyBorder="1" applyAlignment="1">
      <alignment horizontal="center" vertical="center"/>
    </xf>
    <xf numFmtId="0" fontId="1" fillId="6" borderId="21" xfId="21" applyFill="1" applyBorder="1" applyAlignment="1">
      <alignment horizontal="center" vertical="center"/>
    </xf>
    <xf numFmtId="0" fontId="2" fillId="0" borderId="0" xfId="21" applyFont="1" applyAlignment="1" applyProtection="1">
      <alignment horizontal="center" vertical="center"/>
      <protection locked="0"/>
    </xf>
    <xf numFmtId="0" fontId="1" fillId="0" borderId="0" xfId="21" applyAlignment="1">
      <alignment vertical="center"/>
    </xf>
    <xf numFmtId="0" fontId="0" fillId="0" borderId="0" xfId="0" applyAlignment="1">
      <alignment vertical="center"/>
    </xf>
    <xf numFmtId="49" fontId="31" fillId="0" borderId="0" xfId="35" applyNumberFormat="1" applyFont="1" applyBorder="1" applyAlignment="1">
      <alignment horizontal="center" vertical="center" wrapText="1" justifyLastLine="1"/>
    </xf>
    <xf numFmtId="49" fontId="12" fillId="0" borderId="0" xfId="35" applyNumberFormat="1" applyFont="1" applyBorder="1" applyAlignment="1">
      <alignment vertical="center" wrapText="1"/>
    </xf>
    <xf numFmtId="49" fontId="10" fillId="0" borderId="0" xfId="20" applyNumberFormat="1" applyFont="1" applyBorder="1">
      <alignment vertical="center"/>
    </xf>
    <xf numFmtId="0" fontId="22" fillId="0" borderId="0" xfId="35" applyFont="1" applyBorder="1" applyAlignment="1">
      <alignment horizontal="center" vertical="center" shrinkToFit="1"/>
    </xf>
  </cellXfs>
  <cellStyles count="37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Excel Built-in Normal" xfId="13" xr:uid="{00000000-0005-0000-0000-00000C000000}"/>
    <cellStyle name="ハイパーリンク 2" xfId="14" xr:uid="{00000000-0005-0000-0000-00000D000000}"/>
    <cellStyle name="ハイパーリンク 3" xfId="15" xr:uid="{00000000-0005-0000-0000-00000E000000}"/>
    <cellStyle name="ハイパーリンク 4" xfId="16" xr:uid="{00000000-0005-0000-0000-00000F000000}"/>
    <cellStyle name="メモ 2" xfId="17" xr:uid="{00000000-0005-0000-0000-000010000000}"/>
    <cellStyle name="通貨 2" xfId="18" xr:uid="{00000000-0005-0000-0000-000011000000}"/>
    <cellStyle name="通貨 2 2" xfId="19" xr:uid="{00000000-0005-0000-0000-000012000000}"/>
    <cellStyle name="標準" xfId="0" builtinId="0"/>
    <cellStyle name="標準 10" xfId="20" xr:uid="{00000000-0005-0000-0000-000014000000}"/>
    <cellStyle name="標準 2" xfId="21" xr:uid="{00000000-0005-0000-0000-000015000000}"/>
    <cellStyle name="標準 2 2" xfId="22" xr:uid="{00000000-0005-0000-0000-000016000000}"/>
    <cellStyle name="標準 2 2 2" xfId="23" xr:uid="{00000000-0005-0000-0000-000017000000}"/>
    <cellStyle name="標準 2_2015-U12後期（会場変更）" xfId="24" xr:uid="{00000000-0005-0000-0000-000018000000}"/>
    <cellStyle name="標準 3" xfId="25" xr:uid="{00000000-0005-0000-0000-000019000000}"/>
    <cellStyle name="標準 4" xfId="26" xr:uid="{00000000-0005-0000-0000-00001A000000}"/>
    <cellStyle name="標準 4 2" xfId="27" xr:uid="{00000000-0005-0000-0000-00001B000000}"/>
    <cellStyle name="標準 5" xfId="28" xr:uid="{00000000-0005-0000-0000-00001C000000}"/>
    <cellStyle name="標準 5 2" xfId="29" xr:uid="{00000000-0005-0000-0000-00001D000000}"/>
    <cellStyle name="標準 6" xfId="30" xr:uid="{00000000-0005-0000-0000-00001E000000}"/>
    <cellStyle name="標準 7" xfId="31" xr:uid="{00000000-0005-0000-0000-00001F000000}"/>
    <cellStyle name="標準 7 2" xfId="32" xr:uid="{00000000-0005-0000-0000-000020000000}"/>
    <cellStyle name="標準 8" xfId="33" xr:uid="{00000000-0005-0000-0000-000021000000}"/>
    <cellStyle name="標準 9" xfId="34" xr:uid="{00000000-0005-0000-0000-000022000000}"/>
    <cellStyle name="標準_２７年大会・リーグ戦参加表４" xfId="35" xr:uid="{00000000-0005-0000-0000-000023000000}"/>
    <cellStyle name="標準_宇都宮東部Ｕ１２リーグ日程前期" xfId="36" xr:uid="{6D90E84C-ADD4-4038-BB20-2A44E88076CB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</xdr:row>
          <xdr:rowOff>19050</xdr:rowOff>
        </xdr:from>
        <xdr:to>
          <xdr:col>12</xdr:col>
          <xdr:colOff>762000</xdr:colOff>
          <xdr:row>4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9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並べ替え並び替え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119"/>
  <sheetViews>
    <sheetView showGridLines="0" tabSelected="1" zoomScaleNormal="100" zoomScaleSheetLayoutView="100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N51" sqref="N51"/>
    </sheetView>
  </sheetViews>
  <sheetFormatPr defaultColWidth="13.375" defaultRowHeight="0" customHeight="1" zeroHeight="1" x14ac:dyDescent="0.15"/>
  <cols>
    <col min="1" max="1" width="5.75" style="38" customWidth="1"/>
    <col min="2" max="2" width="8.625" style="38" customWidth="1"/>
    <col min="3" max="3" width="5.75" style="38" customWidth="1"/>
    <col min="4" max="4" width="4.75" style="38" customWidth="1"/>
    <col min="5" max="5" width="13.625" style="38" customWidth="1"/>
    <col min="6" max="6" width="6.875" style="38" customWidth="1"/>
    <col min="7" max="7" width="13.125" style="38" customWidth="1"/>
    <col min="8" max="8" width="6.25" style="38" customWidth="1"/>
    <col min="9" max="9" width="13.375" style="38" customWidth="1"/>
    <col min="10" max="10" width="6.25" style="38" customWidth="1"/>
    <col min="11" max="11" width="11.75" style="38" customWidth="1"/>
    <col min="12" max="12" width="16.375" style="38" customWidth="1"/>
    <col min="13" max="13" width="13.375" style="38" customWidth="1"/>
    <col min="14" max="16384" width="13.375" style="38"/>
  </cols>
  <sheetData>
    <row r="1" spans="2:12" ht="26.25" customHeight="1" x14ac:dyDescent="0.25">
      <c r="B1" s="317" t="s">
        <v>142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2:12" ht="21" customHeight="1" x14ac:dyDescent="0.25">
      <c r="B2" s="317" t="s">
        <v>50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</row>
    <row r="3" spans="2:12" ht="14.25" x14ac:dyDescent="0.15">
      <c r="B3" s="319"/>
      <c r="C3" s="320"/>
      <c r="D3" s="308" t="s">
        <v>25</v>
      </c>
      <c r="E3" s="309"/>
      <c r="F3" s="308" t="s">
        <v>26</v>
      </c>
      <c r="G3" s="309"/>
      <c r="H3" s="308" t="s">
        <v>27</v>
      </c>
      <c r="I3" s="309"/>
      <c r="J3" s="308"/>
      <c r="K3" s="309"/>
      <c r="L3" s="310" t="s">
        <v>28</v>
      </c>
    </row>
    <row r="4" spans="2:12" ht="14.25" x14ac:dyDescent="0.15">
      <c r="B4" s="321"/>
      <c r="C4" s="322"/>
      <c r="D4" s="312" t="s">
        <v>58</v>
      </c>
      <c r="E4" s="313"/>
      <c r="F4" s="312" t="s">
        <v>59</v>
      </c>
      <c r="G4" s="313"/>
      <c r="H4" s="312" t="s">
        <v>59</v>
      </c>
      <c r="I4" s="313"/>
      <c r="J4" s="312"/>
      <c r="K4" s="313"/>
      <c r="L4" s="311"/>
    </row>
    <row r="5" spans="2:12" ht="27" hidden="1" customHeight="1" x14ac:dyDescent="0.15">
      <c r="B5" s="323"/>
      <c r="C5" s="324"/>
      <c r="D5" s="327"/>
      <c r="E5" s="328"/>
      <c r="F5" s="329"/>
      <c r="G5" s="329"/>
      <c r="H5" s="329"/>
      <c r="I5" s="329"/>
      <c r="J5" s="329"/>
      <c r="K5" s="330"/>
      <c r="L5" s="62" t="s">
        <v>49</v>
      </c>
    </row>
    <row r="6" spans="2:12" ht="27" hidden="1" customHeight="1" x14ac:dyDescent="0.15">
      <c r="B6" s="323"/>
      <c r="C6" s="324"/>
      <c r="D6" s="331"/>
      <c r="E6" s="332"/>
      <c r="F6" s="333"/>
      <c r="G6" s="333"/>
      <c r="H6" s="333"/>
      <c r="I6" s="333"/>
      <c r="J6" s="333"/>
      <c r="K6" s="334"/>
      <c r="L6" s="59" t="s">
        <v>48</v>
      </c>
    </row>
    <row r="7" spans="2:12" ht="27" hidden="1" customHeight="1" x14ac:dyDescent="0.15">
      <c r="B7" s="323"/>
      <c r="C7" s="324"/>
      <c r="D7" s="335"/>
      <c r="E7" s="336"/>
      <c r="F7" s="337"/>
      <c r="G7" s="337"/>
      <c r="H7" s="337"/>
      <c r="I7" s="337"/>
      <c r="J7" s="337"/>
      <c r="K7" s="338"/>
      <c r="L7" s="59" t="s">
        <v>47</v>
      </c>
    </row>
    <row r="8" spans="2:12" ht="27" hidden="1" customHeight="1" x14ac:dyDescent="0.15">
      <c r="B8" s="323"/>
      <c r="C8" s="324"/>
      <c r="D8" s="335"/>
      <c r="E8" s="336"/>
      <c r="F8" s="337"/>
      <c r="G8" s="337"/>
      <c r="H8" s="337"/>
      <c r="I8" s="337"/>
      <c r="J8" s="337"/>
      <c r="K8" s="338"/>
      <c r="L8" s="59" t="s">
        <v>46</v>
      </c>
    </row>
    <row r="9" spans="2:12" ht="27" hidden="1" customHeight="1" x14ac:dyDescent="0.15">
      <c r="B9" s="325"/>
      <c r="C9" s="326"/>
      <c r="D9" s="339"/>
      <c r="E9" s="340"/>
      <c r="F9" s="340"/>
      <c r="G9" s="340"/>
      <c r="H9" s="340"/>
      <c r="I9" s="340"/>
      <c r="J9" s="340"/>
      <c r="K9" s="341"/>
      <c r="L9" s="61" t="s">
        <v>45</v>
      </c>
    </row>
    <row r="10" spans="2:12" ht="27" customHeight="1" x14ac:dyDescent="0.15">
      <c r="B10" s="314">
        <v>1</v>
      </c>
      <c r="C10" s="315"/>
      <c r="D10" s="316" t="s">
        <v>152</v>
      </c>
      <c r="E10" s="316"/>
      <c r="F10" s="316" t="s">
        <v>153</v>
      </c>
      <c r="G10" s="316"/>
      <c r="H10" s="316" t="s">
        <v>154</v>
      </c>
      <c r="I10" s="316"/>
      <c r="J10" s="316"/>
      <c r="K10" s="316"/>
      <c r="L10" s="60"/>
    </row>
    <row r="11" spans="2:12" ht="27" customHeight="1" x14ac:dyDescent="0.15">
      <c r="B11" s="314">
        <v>2</v>
      </c>
      <c r="C11" s="315"/>
      <c r="D11" s="343" t="s">
        <v>192</v>
      </c>
      <c r="E11" s="343"/>
      <c r="F11" s="343" t="s">
        <v>155</v>
      </c>
      <c r="G11" s="343"/>
      <c r="H11" s="344" t="s">
        <v>180</v>
      </c>
      <c r="I11" s="344"/>
      <c r="J11" s="342"/>
      <c r="K11" s="342"/>
      <c r="L11" s="60"/>
    </row>
    <row r="12" spans="2:12" ht="27" customHeight="1" x14ac:dyDescent="0.15">
      <c r="B12" s="314">
        <v>3</v>
      </c>
      <c r="C12" s="315"/>
      <c r="D12" s="316" t="s">
        <v>193</v>
      </c>
      <c r="E12" s="316"/>
      <c r="F12" s="316" t="s">
        <v>156</v>
      </c>
      <c r="G12" s="316"/>
      <c r="H12" s="316" t="s">
        <v>157</v>
      </c>
      <c r="I12" s="316"/>
      <c r="J12" s="316"/>
      <c r="K12" s="316"/>
      <c r="L12" s="60"/>
    </row>
    <row r="13" spans="2:12" ht="27" customHeight="1" x14ac:dyDescent="0.15">
      <c r="B13" s="314">
        <v>4</v>
      </c>
      <c r="C13" s="315"/>
      <c r="D13" s="342" t="s">
        <v>158</v>
      </c>
      <c r="E13" s="342"/>
      <c r="F13" s="344" t="s">
        <v>159</v>
      </c>
      <c r="G13" s="344"/>
      <c r="H13" s="346" t="s">
        <v>160</v>
      </c>
      <c r="I13" s="549"/>
      <c r="J13" s="344"/>
      <c r="K13" s="344"/>
      <c r="L13" s="307"/>
    </row>
    <row r="14" spans="2:12" ht="27" customHeight="1" x14ac:dyDescent="0.15">
      <c r="B14" s="314">
        <v>5</v>
      </c>
      <c r="C14" s="315"/>
      <c r="D14" s="345" t="s">
        <v>161</v>
      </c>
      <c r="E14" s="345"/>
      <c r="F14" s="316" t="s">
        <v>162</v>
      </c>
      <c r="G14" s="316"/>
      <c r="H14" s="316" t="s">
        <v>163</v>
      </c>
      <c r="I14" s="316"/>
      <c r="J14" s="316"/>
      <c r="K14" s="316"/>
      <c r="L14" s="60"/>
    </row>
    <row r="15" spans="2:12" ht="27" customHeight="1" x14ac:dyDescent="0.15">
      <c r="B15" s="314">
        <v>6</v>
      </c>
      <c r="C15" s="315"/>
      <c r="D15" s="316" t="s">
        <v>164</v>
      </c>
      <c r="E15" s="316"/>
      <c r="F15" s="316" t="s">
        <v>165</v>
      </c>
      <c r="G15" s="316"/>
      <c r="H15" s="316" t="s">
        <v>166</v>
      </c>
      <c r="I15" s="316"/>
      <c r="J15" s="316"/>
      <c r="K15" s="316"/>
      <c r="L15" s="60"/>
    </row>
    <row r="16" spans="2:12" ht="27" customHeight="1" x14ac:dyDescent="0.15">
      <c r="B16" s="314">
        <v>7</v>
      </c>
      <c r="C16" s="315"/>
      <c r="D16" s="316" t="s">
        <v>167</v>
      </c>
      <c r="E16" s="316"/>
      <c r="F16" s="316" t="s">
        <v>168</v>
      </c>
      <c r="G16" s="316"/>
      <c r="H16" s="347" t="s">
        <v>169</v>
      </c>
      <c r="I16" s="342"/>
      <c r="J16" s="343"/>
      <c r="K16" s="343"/>
      <c r="L16" s="60"/>
    </row>
    <row r="17" spans="1:12" ht="27" customHeight="1" x14ac:dyDescent="0.15">
      <c r="B17" s="314">
        <v>8</v>
      </c>
      <c r="C17" s="315"/>
      <c r="D17" s="316" t="s">
        <v>170</v>
      </c>
      <c r="E17" s="316"/>
      <c r="F17" s="348"/>
      <c r="G17" s="348"/>
      <c r="H17" s="348"/>
      <c r="I17" s="348"/>
      <c r="J17" s="316"/>
      <c r="K17" s="316"/>
      <c r="L17" s="60"/>
    </row>
    <row r="18" spans="1:12" ht="27" hidden="1" customHeight="1" x14ac:dyDescent="0.15">
      <c r="B18" s="358" t="s">
        <v>44</v>
      </c>
      <c r="C18" s="359"/>
      <c r="D18" s="360"/>
      <c r="E18" s="361"/>
      <c r="F18" s="360"/>
      <c r="G18" s="361"/>
      <c r="H18" s="360"/>
      <c r="I18" s="361"/>
      <c r="J18" s="360"/>
      <c r="K18" s="361"/>
      <c r="L18" s="59"/>
    </row>
    <row r="19" spans="1:12" ht="15" customHeight="1" x14ac:dyDescent="0.15">
      <c r="B19" s="355">
        <v>44296</v>
      </c>
      <c r="C19" s="363" t="s">
        <v>32</v>
      </c>
      <c r="D19" s="352" t="s">
        <v>29</v>
      </c>
      <c r="E19" s="306" t="s">
        <v>171</v>
      </c>
      <c r="F19" s="350" t="s">
        <v>43</v>
      </c>
      <c r="G19" s="306" t="s">
        <v>172</v>
      </c>
      <c r="H19" s="350" t="s">
        <v>43</v>
      </c>
      <c r="I19" s="306" t="s">
        <v>173</v>
      </c>
      <c r="J19" s="350"/>
      <c r="K19" s="306"/>
      <c r="L19" s="50"/>
    </row>
    <row r="20" spans="1:12" s="57" customFormat="1" ht="15" customHeight="1" x14ac:dyDescent="0.15">
      <c r="A20" s="38"/>
      <c r="B20" s="355"/>
      <c r="C20" s="357"/>
      <c r="D20" s="352"/>
      <c r="E20" s="55" t="s">
        <v>66</v>
      </c>
      <c r="F20" s="350"/>
      <c r="G20" s="58" t="s">
        <v>68</v>
      </c>
      <c r="H20" s="350"/>
      <c r="I20" s="58" t="s">
        <v>70</v>
      </c>
      <c r="J20" s="350"/>
      <c r="K20" s="58"/>
      <c r="L20" s="46"/>
    </row>
    <row r="21" spans="1:12" ht="15" customHeight="1" x14ac:dyDescent="0.15">
      <c r="B21" s="355"/>
      <c r="C21" s="357"/>
      <c r="D21" s="352"/>
      <c r="E21" s="56" t="s">
        <v>174</v>
      </c>
      <c r="F21" s="350"/>
      <c r="G21" s="306" t="s">
        <v>176</v>
      </c>
      <c r="H21" s="350"/>
      <c r="I21" s="306" t="s">
        <v>175</v>
      </c>
      <c r="J21" s="350"/>
      <c r="K21" s="306"/>
      <c r="L21" s="46"/>
    </row>
    <row r="22" spans="1:12" ht="15" customHeight="1" x14ac:dyDescent="0.15">
      <c r="B22" s="362"/>
      <c r="C22" s="364"/>
      <c r="D22" s="353"/>
      <c r="E22" s="53" t="s">
        <v>67</v>
      </c>
      <c r="F22" s="351"/>
      <c r="G22" s="53" t="s">
        <v>69</v>
      </c>
      <c r="H22" s="351"/>
      <c r="I22" s="53" t="s">
        <v>71</v>
      </c>
      <c r="J22" s="351"/>
      <c r="K22" s="53"/>
      <c r="L22" s="46"/>
    </row>
    <row r="23" spans="1:12" ht="15" customHeight="1" x14ac:dyDescent="0.15">
      <c r="B23" s="362"/>
      <c r="C23" s="364"/>
      <c r="D23" s="353"/>
      <c r="E23" s="55"/>
      <c r="F23" s="351"/>
      <c r="G23" s="54"/>
      <c r="H23" s="351"/>
      <c r="I23" s="54"/>
      <c r="J23" s="351"/>
      <c r="K23" s="54"/>
      <c r="L23" s="46"/>
    </row>
    <row r="24" spans="1:12" ht="15" customHeight="1" x14ac:dyDescent="0.15">
      <c r="B24" s="355"/>
      <c r="C24" s="357"/>
      <c r="D24" s="353"/>
      <c r="E24" s="53"/>
      <c r="F24" s="350"/>
      <c r="G24" s="53"/>
      <c r="H24" s="350"/>
      <c r="I24" s="53"/>
      <c r="J24" s="350"/>
      <c r="K24" s="53"/>
      <c r="L24" s="52"/>
    </row>
    <row r="25" spans="1:12" ht="15" customHeight="1" x14ac:dyDescent="0.15">
      <c r="B25" s="354">
        <v>44310</v>
      </c>
      <c r="C25" s="356" t="s">
        <v>32</v>
      </c>
      <c r="D25" s="352" t="s">
        <v>31</v>
      </c>
      <c r="E25" s="158" t="s">
        <v>239</v>
      </c>
      <c r="F25" s="349" t="s">
        <v>42</v>
      </c>
      <c r="G25" s="158" t="s">
        <v>240</v>
      </c>
      <c r="H25" s="349" t="s">
        <v>42</v>
      </c>
      <c r="I25" s="158" t="s">
        <v>173</v>
      </c>
      <c r="J25" s="349"/>
      <c r="K25" s="45"/>
      <c r="L25" s="50"/>
    </row>
    <row r="26" spans="1:12" ht="15" customHeight="1" x14ac:dyDescent="0.15">
      <c r="B26" s="354"/>
      <c r="C26" s="356"/>
      <c r="D26" s="352"/>
      <c r="E26" s="49" t="s">
        <v>72</v>
      </c>
      <c r="F26" s="349"/>
      <c r="G26" s="49" t="s">
        <v>82</v>
      </c>
      <c r="H26" s="349"/>
      <c r="I26" s="49" t="s">
        <v>86</v>
      </c>
      <c r="J26" s="349"/>
      <c r="K26" s="49"/>
      <c r="L26" s="46"/>
    </row>
    <row r="27" spans="1:12" ht="15" customHeight="1" x14ac:dyDescent="0.15">
      <c r="B27" s="354"/>
      <c r="C27" s="356"/>
      <c r="D27" s="352"/>
      <c r="E27" s="48" t="s">
        <v>241</v>
      </c>
      <c r="F27" s="349"/>
      <c r="G27" s="48" t="s">
        <v>197</v>
      </c>
      <c r="H27" s="349"/>
      <c r="I27" s="48" t="s">
        <v>198</v>
      </c>
      <c r="J27" s="349"/>
      <c r="K27" s="48"/>
      <c r="L27" s="46"/>
    </row>
    <row r="28" spans="1:12" ht="15" customHeight="1" x14ac:dyDescent="0.15">
      <c r="B28" s="354"/>
      <c r="C28" s="356"/>
      <c r="D28" s="352"/>
      <c r="E28" s="47" t="s">
        <v>73</v>
      </c>
      <c r="F28" s="349"/>
      <c r="G28" s="47" t="s">
        <v>83</v>
      </c>
      <c r="H28" s="349"/>
      <c r="I28" s="47" t="s">
        <v>87</v>
      </c>
      <c r="J28" s="349"/>
      <c r="K28" s="47"/>
      <c r="L28" s="46"/>
    </row>
    <row r="29" spans="1:12" ht="15" customHeight="1" x14ac:dyDescent="0.15">
      <c r="B29" s="354"/>
      <c r="C29" s="356"/>
      <c r="D29" s="352"/>
      <c r="E29" s="49"/>
      <c r="F29" s="349"/>
      <c r="G29" s="49"/>
      <c r="H29" s="349"/>
      <c r="I29" s="49"/>
      <c r="J29" s="349"/>
      <c r="K29" s="306"/>
      <c r="L29" s="46"/>
    </row>
    <row r="30" spans="1:12" ht="15" customHeight="1" x14ac:dyDescent="0.15">
      <c r="B30" s="355"/>
      <c r="C30" s="357"/>
      <c r="D30" s="352"/>
      <c r="E30" s="44"/>
      <c r="F30" s="350"/>
      <c r="G30" s="44"/>
      <c r="H30" s="350"/>
      <c r="I30" s="44"/>
      <c r="J30" s="350"/>
      <c r="K30" s="44"/>
      <c r="L30" s="51"/>
    </row>
    <row r="31" spans="1:12" ht="15" customHeight="1" x14ac:dyDescent="0.15">
      <c r="B31" s="354">
        <v>44325</v>
      </c>
      <c r="C31" s="356" t="s">
        <v>30</v>
      </c>
      <c r="D31" s="352" t="s">
        <v>33</v>
      </c>
      <c r="E31" s="158" t="s">
        <v>239</v>
      </c>
      <c r="F31" s="352" t="s">
        <v>33</v>
      </c>
      <c r="G31" s="158" t="s">
        <v>240</v>
      </c>
      <c r="H31" s="352" t="s">
        <v>33</v>
      </c>
      <c r="I31" s="158" t="s">
        <v>200</v>
      </c>
      <c r="J31" s="349"/>
      <c r="K31" s="45"/>
      <c r="L31" s="50"/>
    </row>
    <row r="32" spans="1:12" ht="15" customHeight="1" x14ac:dyDescent="0.15">
      <c r="B32" s="354"/>
      <c r="C32" s="356"/>
      <c r="D32" s="352"/>
      <c r="E32" s="49" t="s">
        <v>75</v>
      </c>
      <c r="F32" s="352"/>
      <c r="G32" s="49" t="s">
        <v>84</v>
      </c>
      <c r="H32" s="352"/>
      <c r="I32" s="49" t="s">
        <v>88</v>
      </c>
      <c r="J32" s="349"/>
      <c r="K32" s="49"/>
      <c r="L32" s="46"/>
    </row>
    <row r="33" spans="2:12" ht="15" customHeight="1" x14ac:dyDescent="0.15">
      <c r="B33" s="354"/>
      <c r="C33" s="356"/>
      <c r="D33" s="352"/>
      <c r="E33" s="158" t="s">
        <v>242</v>
      </c>
      <c r="F33" s="352"/>
      <c r="G33" s="158" t="s">
        <v>199</v>
      </c>
      <c r="H33" s="352"/>
      <c r="I33" s="158" t="s">
        <v>173</v>
      </c>
      <c r="J33" s="349"/>
      <c r="K33" s="48"/>
      <c r="L33" s="46"/>
    </row>
    <row r="34" spans="2:12" ht="15" customHeight="1" x14ac:dyDescent="0.15">
      <c r="B34" s="354"/>
      <c r="C34" s="356"/>
      <c r="D34" s="352"/>
      <c r="E34" s="47" t="s">
        <v>77</v>
      </c>
      <c r="F34" s="352"/>
      <c r="G34" s="47" t="s">
        <v>85</v>
      </c>
      <c r="H34" s="352"/>
      <c r="I34" s="47" t="s">
        <v>89</v>
      </c>
      <c r="J34" s="349"/>
      <c r="K34" s="47"/>
      <c r="L34" s="46"/>
    </row>
    <row r="35" spans="2:12" ht="15" customHeight="1" x14ac:dyDescent="0.15">
      <c r="B35" s="354"/>
      <c r="C35" s="356"/>
      <c r="D35" s="352"/>
      <c r="E35" s="49"/>
      <c r="F35" s="352"/>
      <c r="G35" s="49"/>
      <c r="H35" s="352"/>
      <c r="I35" s="49"/>
      <c r="J35" s="349"/>
      <c r="K35" s="306"/>
      <c r="L35" s="46"/>
    </row>
    <row r="36" spans="2:12" ht="15" customHeight="1" x14ac:dyDescent="0.15">
      <c r="B36" s="355"/>
      <c r="C36" s="357"/>
      <c r="D36" s="352"/>
      <c r="E36" s="44"/>
      <c r="F36" s="352"/>
      <c r="G36" s="44"/>
      <c r="H36" s="352"/>
      <c r="I36" s="44"/>
      <c r="J36" s="350"/>
      <c r="K36" s="44"/>
      <c r="L36" s="51"/>
    </row>
    <row r="37" spans="2:12" ht="15" customHeight="1" x14ac:dyDescent="0.15">
      <c r="B37" s="354">
        <v>44353</v>
      </c>
      <c r="C37" s="356" t="s">
        <v>30</v>
      </c>
      <c r="D37" s="352" t="s">
        <v>34</v>
      </c>
      <c r="E37" s="158" t="s">
        <v>201</v>
      </c>
      <c r="F37" s="352" t="s">
        <v>34</v>
      </c>
      <c r="G37" s="45"/>
      <c r="H37" s="352" t="s">
        <v>34</v>
      </c>
      <c r="I37" s="45"/>
      <c r="J37" s="349"/>
      <c r="K37" s="45"/>
      <c r="L37" s="50"/>
    </row>
    <row r="38" spans="2:12" ht="15" customHeight="1" x14ac:dyDescent="0.15">
      <c r="B38" s="354"/>
      <c r="C38" s="356"/>
      <c r="D38" s="352"/>
      <c r="E38" s="49" t="s">
        <v>79</v>
      </c>
      <c r="F38" s="352"/>
      <c r="G38" s="49"/>
      <c r="H38" s="352"/>
      <c r="I38" s="49"/>
      <c r="J38" s="349"/>
      <c r="K38" s="49"/>
      <c r="L38" s="46"/>
    </row>
    <row r="39" spans="2:12" ht="15" customHeight="1" x14ac:dyDescent="0.15">
      <c r="B39" s="354"/>
      <c r="C39" s="356"/>
      <c r="D39" s="352"/>
      <c r="E39" s="158" t="s">
        <v>171</v>
      </c>
      <c r="F39" s="352"/>
      <c r="G39" s="48"/>
      <c r="H39" s="352"/>
      <c r="I39" s="48"/>
      <c r="J39" s="349"/>
      <c r="K39" s="48"/>
      <c r="L39" s="46"/>
    </row>
    <row r="40" spans="2:12" ht="15" customHeight="1" x14ac:dyDescent="0.15">
      <c r="B40" s="354"/>
      <c r="C40" s="356"/>
      <c r="D40" s="352"/>
      <c r="E40" s="47" t="s">
        <v>81</v>
      </c>
      <c r="F40" s="352"/>
      <c r="G40" s="47"/>
      <c r="H40" s="352"/>
      <c r="I40" s="47"/>
      <c r="J40" s="349"/>
      <c r="K40" s="47"/>
      <c r="L40" s="46"/>
    </row>
    <row r="41" spans="2:12" ht="15" customHeight="1" x14ac:dyDescent="0.15">
      <c r="B41" s="354"/>
      <c r="C41" s="356"/>
      <c r="D41" s="352"/>
      <c r="E41" s="49"/>
      <c r="F41" s="352"/>
      <c r="G41" s="49"/>
      <c r="H41" s="352"/>
      <c r="I41" s="49"/>
      <c r="J41" s="349"/>
      <c r="K41" s="306"/>
      <c r="L41" s="46"/>
    </row>
    <row r="42" spans="2:12" ht="15" customHeight="1" x14ac:dyDescent="0.15">
      <c r="B42" s="355"/>
      <c r="C42" s="357"/>
      <c r="D42" s="352"/>
      <c r="E42" s="44"/>
      <c r="F42" s="352"/>
      <c r="G42" s="44"/>
      <c r="H42" s="352"/>
      <c r="I42" s="44"/>
      <c r="J42" s="350"/>
      <c r="K42" s="44"/>
      <c r="L42" s="51"/>
    </row>
    <row r="43" spans="2:12" ht="15" customHeight="1" x14ac:dyDescent="0.15">
      <c r="B43" s="354">
        <v>44387</v>
      </c>
      <c r="C43" s="356" t="s">
        <v>32</v>
      </c>
      <c r="D43" s="365" t="s">
        <v>57</v>
      </c>
      <c r="E43" s="45"/>
      <c r="F43" s="349"/>
      <c r="G43" s="45"/>
      <c r="H43" s="349"/>
      <c r="I43" s="45"/>
      <c r="J43" s="349"/>
      <c r="K43" s="45"/>
      <c r="L43" s="50"/>
    </row>
    <row r="44" spans="2:12" ht="15" customHeight="1" x14ac:dyDescent="0.15">
      <c r="B44" s="354"/>
      <c r="C44" s="356"/>
      <c r="D44" s="352"/>
      <c r="E44" s="49"/>
      <c r="F44" s="349"/>
      <c r="G44" s="49"/>
      <c r="H44" s="349"/>
      <c r="I44" s="49"/>
      <c r="J44" s="349"/>
      <c r="K44" s="49"/>
      <c r="L44" s="46"/>
    </row>
    <row r="45" spans="2:12" ht="15" customHeight="1" x14ac:dyDescent="0.15">
      <c r="B45" s="354"/>
      <c r="C45" s="356"/>
      <c r="D45" s="352"/>
      <c r="E45" s="48"/>
      <c r="F45" s="349"/>
      <c r="G45" s="48"/>
      <c r="H45" s="349"/>
      <c r="I45" s="48"/>
      <c r="J45" s="349"/>
      <c r="K45" s="48"/>
      <c r="L45" s="46"/>
    </row>
    <row r="46" spans="2:12" ht="15" customHeight="1" x14ac:dyDescent="0.15">
      <c r="B46" s="354"/>
      <c r="C46" s="356"/>
      <c r="D46" s="352"/>
      <c r="E46" s="47"/>
      <c r="F46" s="349"/>
      <c r="G46" s="47"/>
      <c r="H46" s="349"/>
      <c r="I46" s="47"/>
      <c r="J46" s="349"/>
      <c r="K46" s="47"/>
      <c r="L46" s="46"/>
    </row>
    <row r="47" spans="2:12" ht="15" customHeight="1" x14ac:dyDescent="0.15">
      <c r="B47" s="354"/>
      <c r="C47" s="356"/>
      <c r="D47" s="352"/>
      <c r="E47" s="49"/>
      <c r="F47" s="349"/>
      <c r="G47" s="49"/>
      <c r="H47" s="349"/>
      <c r="I47" s="49"/>
      <c r="J47" s="349"/>
      <c r="K47" s="306"/>
      <c r="L47" s="46"/>
    </row>
    <row r="48" spans="2:12" ht="15" customHeight="1" x14ac:dyDescent="0.15">
      <c r="B48" s="355"/>
      <c r="C48" s="357"/>
      <c r="D48" s="352"/>
      <c r="E48" s="44"/>
      <c r="F48" s="350"/>
      <c r="G48" s="44"/>
      <c r="H48" s="350"/>
      <c r="I48" s="44"/>
      <c r="J48" s="350"/>
      <c r="K48" s="44"/>
      <c r="L48" s="51"/>
    </row>
    <row r="49" spans="2:12" ht="14.25" x14ac:dyDescent="0.2"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</row>
    <row r="50" spans="2:12" ht="18.75" customHeight="1" x14ac:dyDescent="0.15">
      <c r="B50" s="398" t="s">
        <v>144</v>
      </c>
      <c r="C50" s="399"/>
      <c r="D50" s="383" t="s">
        <v>190</v>
      </c>
      <c r="E50" s="384"/>
      <c r="F50" s="385"/>
      <c r="G50" s="386" t="s">
        <v>148</v>
      </c>
      <c r="H50" s="387"/>
      <c r="I50" s="387"/>
      <c r="J50" s="387"/>
      <c r="K50" s="367" t="s">
        <v>147</v>
      </c>
      <c r="L50" s="368"/>
    </row>
    <row r="51" spans="2:12" ht="18.75" customHeight="1" x14ac:dyDescent="0.15">
      <c r="B51" s="367"/>
      <c r="C51" s="399"/>
      <c r="D51" s="383"/>
      <c r="E51" s="384"/>
      <c r="F51" s="385"/>
      <c r="G51" s="386"/>
      <c r="H51" s="387"/>
      <c r="I51" s="387"/>
      <c r="J51" s="387"/>
      <c r="K51" s="379" t="s">
        <v>151</v>
      </c>
      <c r="L51" s="380"/>
    </row>
    <row r="52" spans="2:12" ht="18.75" customHeight="1" x14ac:dyDescent="0.15">
      <c r="B52" s="367"/>
      <c r="C52" s="399"/>
      <c r="D52" s="383"/>
      <c r="E52" s="384"/>
      <c r="F52" s="385"/>
      <c r="G52" s="387"/>
      <c r="H52" s="387"/>
      <c r="I52" s="387"/>
      <c r="J52" s="387"/>
      <c r="K52" s="381"/>
      <c r="L52" s="382"/>
    </row>
    <row r="53" spans="2:12" ht="18.75" customHeight="1" x14ac:dyDescent="0.15">
      <c r="B53" s="398" t="s">
        <v>145</v>
      </c>
      <c r="C53" s="399"/>
      <c r="D53" s="393" t="s">
        <v>191</v>
      </c>
      <c r="E53" s="394"/>
      <c r="F53" s="394"/>
      <c r="G53" s="388" t="s">
        <v>188</v>
      </c>
      <c r="H53" s="389"/>
      <c r="I53" s="389"/>
      <c r="J53" s="389"/>
      <c r="K53" s="367" t="s">
        <v>147</v>
      </c>
      <c r="L53" s="368"/>
    </row>
    <row r="54" spans="2:12" ht="18.75" customHeight="1" x14ac:dyDescent="0.15">
      <c r="B54" s="367"/>
      <c r="C54" s="399"/>
      <c r="D54" s="395"/>
      <c r="E54" s="546"/>
      <c r="F54" s="546"/>
      <c r="G54" s="390"/>
      <c r="H54" s="547"/>
      <c r="I54" s="547"/>
      <c r="J54" s="547"/>
      <c r="K54" s="379" t="s">
        <v>187</v>
      </c>
      <c r="L54" s="380"/>
    </row>
    <row r="55" spans="2:12" ht="18.75" customHeight="1" x14ac:dyDescent="0.15">
      <c r="B55" s="367"/>
      <c r="C55" s="399"/>
      <c r="D55" s="396"/>
      <c r="E55" s="397"/>
      <c r="F55" s="397"/>
      <c r="G55" s="391"/>
      <c r="H55" s="392"/>
      <c r="I55" s="392"/>
      <c r="J55" s="392"/>
      <c r="K55" s="381"/>
      <c r="L55" s="382"/>
    </row>
    <row r="56" spans="2:12" ht="18.75" customHeight="1" x14ac:dyDescent="0.15">
      <c r="B56" s="400" t="s">
        <v>146</v>
      </c>
      <c r="C56" s="401"/>
      <c r="D56" s="371" t="s">
        <v>189</v>
      </c>
      <c r="E56" s="372"/>
      <c r="F56" s="373"/>
      <c r="G56" s="406" t="s">
        <v>149</v>
      </c>
      <c r="H56" s="407"/>
      <c r="I56" s="407"/>
      <c r="J56" s="407"/>
      <c r="K56" s="367" t="s">
        <v>147</v>
      </c>
      <c r="L56" s="368"/>
    </row>
    <row r="57" spans="2:12" ht="18.75" customHeight="1" x14ac:dyDescent="0.15">
      <c r="B57" s="402"/>
      <c r="C57" s="403"/>
      <c r="D57" s="374"/>
      <c r="E57" s="548"/>
      <c r="F57" s="375"/>
      <c r="G57" s="406"/>
      <c r="H57" s="407"/>
      <c r="I57" s="407"/>
      <c r="J57" s="407"/>
      <c r="K57" s="379" t="s">
        <v>150</v>
      </c>
      <c r="L57" s="380"/>
    </row>
    <row r="58" spans="2:12" ht="18.75" customHeight="1" x14ac:dyDescent="0.15">
      <c r="B58" s="404"/>
      <c r="C58" s="405"/>
      <c r="D58" s="376"/>
      <c r="E58" s="377"/>
      <c r="F58" s="378"/>
      <c r="G58" s="407"/>
      <c r="H58" s="407"/>
      <c r="I58" s="407"/>
      <c r="J58" s="407"/>
      <c r="K58" s="381"/>
      <c r="L58" s="382"/>
    </row>
    <row r="59" spans="2:12" ht="14.25" customHeight="1" x14ac:dyDescent="0.15">
      <c r="B59" s="398"/>
      <c r="C59" s="399"/>
      <c r="D59" s="371"/>
      <c r="E59" s="372"/>
      <c r="F59" s="373"/>
      <c r="G59" s="388"/>
      <c r="H59" s="389"/>
      <c r="I59" s="389"/>
      <c r="J59" s="389"/>
      <c r="K59" s="367"/>
      <c r="L59" s="368"/>
    </row>
    <row r="60" spans="2:12" ht="13.5" customHeight="1" x14ac:dyDescent="0.15">
      <c r="B60" s="367"/>
      <c r="C60" s="399"/>
      <c r="D60" s="374"/>
      <c r="E60" s="548"/>
      <c r="F60" s="375"/>
      <c r="G60" s="390"/>
      <c r="H60" s="547"/>
      <c r="I60" s="547"/>
      <c r="J60" s="547"/>
      <c r="K60" s="369"/>
      <c r="L60" s="370"/>
    </row>
    <row r="61" spans="2:12" ht="18" customHeight="1" x14ac:dyDescent="0.15">
      <c r="B61" s="367"/>
      <c r="C61" s="399"/>
      <c r="D61" s="376"/>
      <c r="E61" s="377"/>
      <c r="F61" s="378"/>
      <c r="G61" s="391"/>
      <c r="H61" s="392"/>
      <c r="I61" s="392"/>
      <c r="J61" s="392"/>
      <c r="K61" s="369"/>
      <c r="L61" s="370"/>
    </row>
    <row r="62" spans="2:12" ht="14.25" x14ac:dyDescent="0.2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2:12" ht="13.5" x14ac:dyDescent="0.15"/>
    <row r="64" spans="2:12" ht="13.5" x14ac:dyDescent="0.15"/>
    <row r="65" ht="13.5" x14ac:dyDescent="0.15"/>
    <row r="66" ht="13.5" x14ac:dyDescent="0.15"/>
    <row r="67" ht="13.5" x14ac:dyDescent="0.15"/>
    <row r="68" ht="13.5" x14ac:dyDescent="0.15"/>
    <row r="69" ht="13.5" x14ac:dyDescent="0.15"/>
    <row r="70" ht="13.5" x14ac:dyDescent="0.15"/>
    <row r="71" ht="13.5" x14ac:dyDescent="0.15"/>
    <row r="72" ht="13.5" x14ac:dyDescent="0.15"/>
    <row r="73" ht="13.5" x14ac:dyDescent="0.15"/>
    <row r="74" ht="13.5" x14ac:dyDescent="0.15"/>
    <row r="75" ht="13.5" x14ac:dyDescent="0.15"/>
    <row r="76" ht="13.5" x14ac:dyDescent="0.15"/>
    <row r="77" ht="13.5" x14ac:dyDescent="0.15"/>
    <row r="78" ht="13.5" x14ac:dyDescent="0.15"/>
    <row r="79" ht="13.5" x14ac:dyDescent="0.15"/>
    <row r="80" ht="13.5" x14ac:dyDescent="0.15"/>
    <row r="81" ht="13.5" x14ac:dyDescent="0.15"/>
    <row r="82" ht="13.5" x14ac:dyDescent="0.15"/>
    <row r="83" ht="13.5" x14ac:dyDescent="0.15"/>
    <row r="84" ht="13.5" x14ac:dyDescent="0.15"/>
    <row r="85" ht="13.5" x14ac:dyDescent="0.15"/>
    <row r="86" ht="13.5" x14ac:dyDescent="0.15"/>
    <row r="87" ht="13.5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</sheetData>
  <mergeCells count="113">
    <mergeCell ref="K59:L59"/>
    <mergeCell ref="K60:L61"/>
    <mergeCell ref="K50:L50"/>
    <mergeCell ref="B37:B42"/>
    <mergeCell ref="C37:C42"/>
    <mergeCell ref="D37:D42"/>
    <mergeCell ref="F37:F42"/>
    <mergeCell ref="D59:F61"/>
    <mergeCell ref="K56:L56"/>
    <mergeCell ref="K57:L58"/>
    <mergeCell ref="D50:F52"/>
    <mergeCell ref="G50:J52"/>
    <mergeCell ref="G53:J55"/>
    <mergeCell ref="K53:L53"/>
    <mergeCell ref="K54:L55"/>
    <mergeCell ref="K51:L52"/>
    <mergeCell ref="D53:F55"/>
    <mergeCell ref="B59:C61"/>
    <mergeCell ref="B53:C55"/>
    <mergeCell ref="B50:C52"/>
    <mergeCell ref="B56:C58"/>
    <mergeCell ref="D56:F58"/>
    <mergeCell ref="G56:J58"/>
    <mergeCell ref="G59:J61"/>
    <mergeCell ref="C43:C48"/>
    <mergeCell ref="D43:D48"/>
    <mergeCell ref="F43:F48"/>
    <mergeCell ref="H43:H48"/>
    <mergeCell ref="J43:J48"/>
    <mergeCell ref="B49:L49"/>
    <mergeCell ref="B43:B48"/>
    <mergeCell ref="H37:H42"/>
    <mergeCell ref="J37:J42"/>
    <mergeCell ref="B15:C15"/>
    <mergeCell ref="D15:E15"/>
    <mergeCell ref="F15:G15"/>
    <mergeCell ref="H15:I15"/>
    <mergeCell ref="J15:K15"/>
    <mergeCell ref="B31:B36"/>
    <mergeCell ref="C31:C36"/>
    <mergeCell ref="D31:D36"/>
    <mergeCell ref="F31:F36"/>
    <mergeCell ref="J16:K16"/>
    <mergeCell ref="B25:B30"/>
    <mergeCell ref="C25:C30"/>
    <mergeCell ref="D25:D30"/>
    <mergeCell ref="F25:F30"/>
    <mergeCell ref="H25:H30"/>
    <mergeCell ref="H31:H36"/>
    <mergeCell ref="J31:J36"/>
    <mergeCell ref="B18:C18"/>
    <mergeCell ref="D18:E18"/>
    <mergeCell ref="F18:G18"/>
    <mergeCell ref="H18:I18"/>
    <mergeCell ref="J18:K18"/>
    <mergeCell ref="B19:B24"/>
    <mergeCell ref="C19:C24"/>
    <mergeCell ref="B16:C16"/>
    <mergeCell ref="D16:E16"/>
    <mergeCell ref="F16:G16"/>
    <mergeCell ref="H16:I16"/>
    <mergeCell ref="B17:C17"/>
    <mergeCell ref="D17:E17"/>
    <mergeCell ref="F17:G17"/>
    <mergeCell ref="H17:I17"/>
    <mergeCell ref="J25:J30"/>
    <mergeCell ref="F19:F24"/>
    <mergeCell ref="H19:H24"/>
    <mergeCell ref="J19:J24"/>
    <mergeCell ref="J17:K17"/>
    <mergeCell ref="D19:D24"/>
    <mergeCell ref="J13:K13"/>
    <mergeCell ref="B14:C14"/>
    <mergeCell ref="D14:E14"/>
    <mergeCell ref="F14:G14"/>
    <mergeCell ref="H14:I14"/>
    <mergeCell ref="J14:K14"/>
    <mergeCell ref="B13:C13"/>
    <mergeCell ref="D13:E13"/>
    <mergeCell ref="F13:G13"/>
    <mergeCell ref="H13:I13"/>
    <mergeCell ref="J11:K11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3:K3"/>
    <mergeCell ref="L3:L4"/>
    <mergeCell ref="D4:E4"/>
    <mergeCell ref="B10:C10"/>
    <mergeCell ref="D10:E10"/>
    <mergeCell ref="F10:G10"/>
    <mergeCell ref="H10:I10"/>
    <mergeCell ref="B1:L1"/>
    <mergeCell ref="B2:L2"/>
    <mergeCell ref="B3:C9"/>
    <mergeCell ref="D3:E3"/>
    <mergeCell ref="F3:G3"/>
    <mergeCell ref="H3:I3"/>
    <mergeCell ref="J10:K10"/>
    <mergeCell ref="H4:I4"/>
    <mergeCell ref="J4:K4"/>
    <mergeCell ref="D5:K5"/>
    <mergeCell ref="D6:K6"/>
    <mergeCell ref="D7:K7"/>
    <mergeCell ref="F4:G4"/>
    <mergeCell ref="D9:K9"/>
    <mergeCell ref="D8:K8"/>
  </mergeCells>
  <phoneticPr fontId="16"/>
  <printOptions horizontalCentered="1"/>
  <pageMargins left="0" right="0" top="0.39370078740157483" bottom="0" header="0.15748031496062992" footer="0.15748031496062992"/>
  <pageSetup paperSize="9" scale="83" orientation="portrait" horizontalDpi="300" verticalDpi="300" r:id="rId1"/>
  <headerFooter alignWithMargins="0">
    <oddFooter>&amp;RVer.4.12.1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W43"/>
  <sheetViews>
    <sheetView view="pageBreakPreview" zoomScaleNormal="100" zoomScaleSheetLayoutView="100" workbookViewId="0">
      <selection sqref="A1:L1"/>
    </sheetView>
  </sheetViews>
  <sheetFormatPr defaultColWidth="8.75" defaultRowHeight="13.5" x14ac:dyDescent="0.4"/>
  <cols>
    <col min="1" max="1" width="3.5" style="1" customWidth="1"/>
    <col min="2" max="2" width="5.25" style="1" customWidth="1"/>
    <col min="3" max="3" width="20" style="1" bestFit="1" customWidth="1"/>
    <col min="4" max="4" width="6.875" style="1" customWidth="1"/>
    <col min="5" max="5" width="7.125" style="1" customWidth="1"/>
    <col min="6" max="8" width="8.75" style="1"/>
    <col min="9" max="9" width="8.75" style="1" hidden="1" customWidth="1"/>
    <col min="10" max="10" width="6.5" style="1" customWidth="1"/>
    <col min="11" max="11" width="7.875" style="2" hidden="1" customWidth="1"/>
    <col min="12" max="12" width="8.75" style="3" customWidth="1"/>
    <col min="13" max="13" width="10.25" style="1" customWidth="1"/>
    <col min="14" max="14" width="8.75" style="1"/>
    <col min="15" max="15" width="38.5" style="1" customWidth="1"/>
    <col min="16" max="16384" width="8.75" style="1"/>
  </cols>
  <sheetData>
    <row r="1" spans="1:23" ht="18.75" x14ac:dyDescent="0.4">
      <c r="A1" s="543" t="s">
        <v>38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5"/>
      <c r="O1" s="24" t="s">
        <v>19</v>
      </c>
    </row>
    <row r="2" spans="1:23" ht="18.75" x14ac:dyDescent="0.4">
      <c r="A2" s="543" t="s">
        <v>39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5"/>
      <c r="O2" s="40" t="s">
        <v>20</v>
      </c>
    </row>
    <row r="3" spans="1:23" ht="18.75" x14ac:dyDescent="0.15">
      <c r="A3" s="543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O3" s="535" t="s">
        <v>21</v>
      </c>
      <c r="P3" s="536"/>
      <c r="Q3" s="536"/>
      <c r="R3" s="536"/>
      <c r="S3" s="536"/>
      <c r="T3" s="536"/>
      <c r="U3" s="536"/>
      <c r="V3" s="536"/>
      <c r="W3" s="537"/>
    </row>
    <row r="4" spans="1:23" ht="18.75" x14ac:dyDescent="0.15">
      <c r="A4" s="538" t="s">
        <v>22</v>
      </c>
      <c r="B4" s="539"/>
      <c r="C4" s="539"/>
      <c r="D4" s="539"/>
      <c r="E4" s="539"/>
      <c r="F4" s="539"/>
      <c r="G4" s="539"/>
      <c r="H4" s="539"/>
      <c r="I4" s="539"/>
      <c r="J4" s="539"/>
      <c r="K4" s="540"/>
      <c r="L4" s="540"/>
    </row>
    <row r="5" spans="1:23" ht="19.5" customHeight="1" x14ac:dyDescent="0.4">
      <c r="B5" s="541" t="s">
        <v>23</v>
      </c>
      <c r="C5" s="542"/>
      <c r="D5" s="4" t="s">
        <v>14</v>
      </c>
      <c r="E5" s="5" t="s">
        <v>15</v>
      </c>
      <c r="F5" s="6" t="s">
        <v>17</v>
      </c>
      <c r="G5" s="7" t="s">
        <v>16</v>
      </c>
      <c r="H5" s="8" t="s">
        <v>6</v>
      </c>
      <c r="I5" s="25"/>
      <c r="J5" s="26" t="s">
        <v>24</v>
      </c>
      <c r="L5" s="27" t="e">
        <f>IF(J$17&lt;&gt;J$18,"",IF(J5=J$17,"出場候補",""))</f>
        <v>#REF!</v>
      </c>
    </row>
    <row r="6" spans="1:23" ht="20.100000000000001" customHeight="1" x14ac:dyDescent="0.4">
      <c r="A6" s="1">
        <v>1</v>
      </c>
      <c r="B6" s="9" t="e">
        <f>#REF!</f>
        <v>#REF!</v>
      </c>
      <c r="C6" s="41" t="e">
        <f>#REF!</f>
        <v>#REF!</v>
      </c>
      <c r="D6" s="10" t="e">
        <f>#REF!</f>
        <v>#REF!</v>
      </c>
      <c r="E6" s="11" t="e">
        <f>#REF!</f>
        <v>#REF!</v>
      </c>
      <c r="F6" s="12" t="e">
        <f t="shared" ref="F6:F43" si="0">IF(E6=0,0,D6/(E6*3))</f>
        <v>#REF!</v>
      </c>
      <c r="G6" s="13" t="e">
        <f>#REF!</f>
        <v>#REF!</v>
      </c>
      <c r="H6" s="14" t="e">
        <f>#REF!</f>
        <v>#REF!</v>
      </c>
      <c r="I6" s="28" t="e">
        <f t="shared" ref="I6:I43" si="1">F6</f>
        <v>#REF!</v>
      </c>
      <c r="J6" s="29" t="e">
        <f t="shared" ref="J6:J43" si="2">RANK(I6,$I$6:$I$43,0)&amp;"位"</f>
        <v>#REF!</v>
      </c>
      <c r="K6" s="30"/>
      <c r="L6" s="27"/>
    </row>
    <row r="7" spans="1:23" ht="20.100000000000001" customHeight="1" x14ac:dyDescent="0.4">
      <c r="A7" s="1">
        <v>2</v>
      </c>
      <c r="B7" s="15" t="e">
        <f>#REF!</f>
        <v>#REF!</v>
      </c>
      <c r="C7" s="42" t="e">
        <f>#REF!</f>
        <v>#REF!</v>
      </c>
      <c r="D7" s="16" t="e">
        <f>#REF!</f>
        <v>#REF!</v>
      </c>
      <c r="E7" s="17" t="e">
        <f>#REF!</f>
        <v>#REF!</v>
      </c>
      <c r="F7" s="18" t="e">
        <f t="shared" si="0"/>
        <v>#REF!</v>
      </c>
      <c r="G7" s="17" t="e">
        <f>#REF!</f>
        <v>#REF!</v>
      </c>
      <c r="H7" s="19" t="e">
        <f>#REF!</f>
        <v>#REF!</v>
      </c>
      <c r="I7" s="28" t="e">
        <f t="shared" si="1"/>
        <v>#REF!</v>
      </c>
      <c r="J7" s="31" t="e">
        <f t="shared" si="2"/>
        <v>#REF!</v>
      </c>
      <c r="K7" s="32"/>
      <c r="L7" s="27"/>
      <c r="M7" s="33"/>
      <c r="N7" s="33"/>
    </row>
    <row r="8" spans="1:23" ht="20.100000000000001" customHeight="1" x14ac:dyDescent="0.4">
      <c r="A8" s="1">
        <v>3</v>
      </c>
      <c r="B8" s="20" t="e">
        <f>#REF!</f>
        <v>#REF!</v>
      </c>
      <c r="C8" s="41" t="e">
        <f>#REF!</f>
        <v>#REF!</v>
      </c>
      <c r="D8" s="10" t="e">
        <f>#REF!</f>
        <v>#REF!</v>
      </c>
      <c r="E8" s="11" t="e">
        <f>#REF!</f>
        <v>#REF!</v>
      </c>
      <c r="F8" s="12" t="e">
        <f t="shared" si="0"/>
        <v>#REF!</v>
      </c>
      <c r="G8" s="13" t="e">
        <f>#REF!</f>
        <v>#REF!</v>
      </c>
      <c r="H8" s="14" t="e">
        <f>#REF!</f>
        <v>#REF!</v>
      </c>
      <c r="I8" s="28" t="e">
        <f t="shared" si="1"/>
        <v>#REF!</v>
      </c>
      <c r="J8" s="29" t="e">
        <f t="shared" si="2"/>
        <v>#REF!</v>
      </c>
      <c r="K8" s="32"/>
      <c r="L8" s="27"/>
    </row>
    <row r="9" spans="1:23" ht="20.100000000000001" customHeight="1" x14ac:dyDescent="0.4">
      <c r="A9" s="1">
        <v>4</v>
      </c>
      <c r="B9" s="20" t="e">
        <f>#REF!</f>
        <v>#REF!</v>
      </c>
      <c r="C9" s="41" t="e">
        <f>#REF!</f>
        <v>#REF!</v>
      </c>
      <c r="D9" s="10" t="e">
        <f>#REF!</f>
        <v>#REF!</v>
      </c>
      <c r="E9" s="11" t="e">
        <f>#REF!</f>
        <v>#REF!</v>
      </c>
      <c r="F9" s="12" t="e">
        <f t="shared" si="0"/>
        <v>#REF!</v>
      </c>
      <c r="G9" s="13" t="e">
        <f>#REF!</f>
        <v>#REF!</v>
      </c>
      <c r="H9" s="14" t="e">
        <f>#REF!</f>
        <v>#REF!</v>
      </c>
      <c r="I9" s="28" t="e">
        <f t="shared" si="1"/>
        <v>#REF!</v>
      </c>
      <c r="J9" s="29" t="e">
        <f t="shared" si="2"/>
        <v>#REF!</v>
      </c>
      <c r="K9" s="32"/>
      <c r="L9" s="27"/>
    </row>
    <row r="10" spans="1:23" ht="20.100000000000001" customHeight="1" x14ac:dyDescent="0.4">
      <c r="A10" s="1">
        <v>5</v>
      </c>
      <c r="B10" s="20" t="e">
        <f>#REF!</f>
        <v>#REF!</v>
      </c>
      <c r="C10" s="41" t="e">
        <f>#REF!</f>
        <v>#REF!</v>
      </c>
      <c r="D10" s="10" t="e">
        <f>#REF!</f>
        <v>#REF!</v>
      </c>
      <c r="E10" s="11" t="e">
        <f>#REF!</f>
        <v>#REF!</v>
      </c>
      <c r="F10" s="12" t="e">
        <f t="shared" si="0"/>
        <v>#REF!</v>
      </c>
      <c r="G10" s="13" t="e">
        <f>#REF!</f>
        <v>#REF!</v>
      </c>
      <c r="H10" s="14" t="e">
        <f>#REF!</f>
        <v>#REF!</v>
      </c>
      <c r="I10" s="28" t="e">
        <f t="shared" si="1"/>
        <v>#REF!</v>
      </c>
      <c r="J10" s="29" t="e">
        <f t="shared" si="2"/>
        <v>#REF!</v>
      </c>
      <c r="K10" s="32"/>
      <c r="L10" s="27"/>
    </row>
    <row r="11" spans="1:23" ht="20.100000000000001" customHeight="1" x14ac:dyDescent="0.4">
      <c r="A11" s="1">
        <v>6</v>
      </c>
      <c r="B11" s="20" t="e">
        <f>#REF!</f>
        <v>#REF!</v>
      </c>
      <c r="C11" s="41" t="e">
        <f>#REF!</f>
        <v>#REF!</v>
      </c>
      <c r="D11" s="10" t="e">
        <f>#REF!</f>
        <v>#REF!</v>
      </c>
      <c r="E11" s="11" t="e">
        <f>#REF!</f>
        <v>#REF!</v>
      </c>
      <c r="F11" s="12" t="e">
        <f t="shared" si="0"/>
        <v>#REF!</v>
      </c>
      <c r="G11" s="13" t="e">
        <f>#REF!</f>
        <v>#REF!</v>
      </c>
      <c r="H11" s="14" t="e">
        <f>#REF!</f>
        <v>#REF!</v>
      </c>
      <c r="I11" s="28" t="e">
        <f t="shared" si="1"/>
        <v>#REF!</v>
      </c>
      <c r="J11" s="29" t="e">
        <f t="shared" si="2"/>
        <v>#REF!</v>
      </c>
      <c r="K11" s="32"/>
      <c r="L11" s="27"/>
    </row>
    <row r="12" spans="1:23" ht="20.100000000000001" customHeight="1" x14ac:dyDescent="0.4">
      <c r="A12" s="1">
        <v>7</v>
      </c>
      <c r="B12" s="20" t="e">
        <f>#REF!</f>
        <v>#REF!</v>
      </c>
      <c r="C12" s="41" t="e">
        <f>#REF!</f>
        <v>#REF!</v>
      </c>
      <c r="D12" s="10" t="e">
        <f>#REF!</f>
        <v>#REF!</v>
      </c>
      <c r="E12" s="11" t="e">
        <f>#REF!</f>
        <v>#REF!</v>
      </c>
      <c r="F12" s="12" t="e">
        <f t="shared" si="0"/>
        <v>#REF!</v>
      </c>
      <c r="G12" s="13" t="e">
        <f>#REF!</f>
        <v>#REF!</v>
      </c>
      <c r="H12" s="14" t="e">
        <f>#REF!</f>
        <v>#REF!</v>
      </c>
      <c r="I12" s="28" t="e">
        <f t="shared" si="1"/>
        <v>#REF!</v>
      </c>
      <c r="J12" s="29" t="e">
        <f t="shared" si="2"/>
        <v>#REF!</v>
      </c>
      <c r="K12" s="32"/>
      <c r="L12" s="27"/>
    </row>
    <row r="13" spans="1:23" ht="20.100000000000001" customHeight="1" x14ac:dyDescent="0.4">
      <c r="A13" s="1">
        <v>8</v>
      </c>
      <c r="B13" s="20" t="e">
        <f>#REF!</f>
        <v>#REF!</v>
      </c>
      <c r="C13" s="41" t="e">
        <f>#REF!</f>
        <v>#REF!</v>
      </c>
      <c r="D13" s="10" t="e">
        <f>#REF!</f>
        <v>#REF!</v>
      </c>
      <c r="E13" s="11" t="e">
        <f>#REF!</f>
        <v>#REF!</v>
      </c>
      <c r="F13" s="12" t="e">
        <f t="shared" si="0"/>
        <v>#REF!</v>
      </c>
      <c r="G13" s="13" t="e">
        <f>#REF!</f>
        <v>#REF!</v>
      </c>
      <c r="H13" s="14" t="e">
        <f>#REF!</f>
        <v>#REF!</v>
      </c>
      <c r="I13" s="28" t="e">
        <f t="shared" si="1"/>
        <v>#REF!</v>
      </c>
      <c r="J13" s="29" t="e">
        <f t="shared" si="2"/>
        <v>#REF!</v>
      </c>
      <c r="K13" s="32"/>
      <c r="L13" s="27"/>
    </row>
    <row r="14" spans="1:23" ht="20.100000000000001" customHeight="1" x14ac:dyDescent="0.4">
      <c r="A14" s="1">
        <v>9</v>
      </c>
      <c r="B14" s="20" t="e">
        <f>#REF!</f>
        <v>#REF!</v>
      </c>
      <c r="C14" s="41" t="e">
        <f>#REF!</f>
        <v>#REF!</v>
      </c>
      <c r="D14" s="10" t="e">
        <f>#REF!</f>
        <v>#REF!</v>
      </c>
      <c r="E14" s="11" t="e">
        <f>#REF!</f>
        <v>#REF!</v>
      </c>
      <c r="F14" s="12" t="e">
        <f t="shared" si="0"/>
        <v>#REF!</v>
      </c>
      <c r="G14" s="13" t="e">
        <f>#REF!</f>
        <v>#REF!</v>
      </c>
      <c r="H14" s="14" t="e">
        <f>#REF!</f>
        <v>#REF!</v>
      </c>
      <c r="I14" s="28" t="e">
        <f t="shared" si="1"/>
        <v>#REF!</v>
      </c>
      <c r="J14" s="29" t="e">
        <f t="shared" si="2"/>
        <v>#REF!</v>
      </c>
      <c r="K14" s="32"/>
      <c r="L14" s="27"/>
    </row>
    <row r="15" spans="1:23" ht="20.100000000000001" customHeight="1" x14ac:dyDescent="0.4">
      <c r="A15" s="1">
        <v>10</v>
      </c>
      <c r="B15" s="20" t="e">
        <f>#REF!</f>
        <v>#REF!</v>
      </c>
      <c r="C15" s="41" t="e">
        <f>#REF!</f>
        <v>#REF!</v>
      </c>
      <c r="D15" s="10" t="e">
        <f>#REF!</f>
        <v>#REF!</v>
      </c>
      <c r="E15" s="11" t="e">
        <f>#REF!</f>
        <v>#REF!</v>
      </c>
      <c r="F15" s="12" t="e">
        <f t="shared" si="0"/>
        <v>#REF!</v>
      </c>
      <c r="G15" s="13" t="e">
        <f>#REF!</f>
        <v>#REF!</v>
      </c>
      <c r="H15" s="14" t="e">
        <f>#REF!</f>
        <v>#REF!</v>
      </c>
      <c r="I15" s="28" t="e">
        <f t="shared" si="1"/>
        <v>#REF!</v>
      </c>
      <c r="J15" s="29" t="e">
        <f t="shared" si="2"/>
        <v>#REF!</v>
      </c>
      <c r="K15" s="32"/>
      <c r="L15" s="27"/>
    </row>
    <row r="16" spans="1:23" ht="20.100000000000001" customHeight="1" x14ac:dyDescent="0.4">
      <c r="A16" s="1">
        <v>11</v>
      </c>
      <c r="B16" s="20" t="e">
        <f>#REF!</f>
        <v>#REF!</v>
      </c>
      <c r="C16" s="41" t="e">
        <f>#REF!</f>
        <v>#REF!</v>
      </c>
      <c r="D16" s="10" t="e">
        <f>#REF!</f>
        <v>#REF!</v>
      </c>
      <c r="E16" s="11" t="e">
        <f>#REF!</f>
        <v>#REF!</v>
      </c>
      <c r="F16" s="12" t="e">
        <f t="shared" si="0"/>
        <v>#REF!</v>
      </c>
      <c r="G16" s="13" t="e">
        <f>#REF!</f>
        <v>#REF!</v>
      </c>
      <c r="H16" s="14" t="e">
        <f>#REF!</f>
        <v>#REF!</v>
      </c>
      <c r="I16" s="28" t="e">
        <f t="shared" si="1"/>
        <v>#REF!</v>
      </c>
      <c r="J16" s="29" t="e">
        <f t="shared" si="2"/>
        <v>#REF!</v>
      </c>
      <c r="K16" s="32"/>
      <c r="L16" s="27"/>
    </row>
    <row r="17" spans="1:14" ht="20.100000000000001" customHeight="1" x14ac:dyDescent="0.4">
      <c r="A17" s="1">
        <v>12</v>
      </c>
      <c r="B17" s="15" t="e">
        <f>#REF!</f>
        <v>#REF!</v>
      </c>
      <c r="C17" s="42" t="e">
        <f>#REF!</f>
        <v>#REF!</v>
      </c>
      <c r="D17" s="16" t="e">
        <f>#REF!</f>
        <v>#REF!</v>
      </c>
      <c r="E17" s="17" t="e">
        <f>#REF!</f>
        <v>#REF!</v>
      </c>
      <c r="F17" s="18" t="e">
        <f t="shared" si="0"/>
        <v>#REF!</v>
      </c>
      <c r="G17" s="21" t="e">
        <f>#REF!</f>
        <v>#REF!</v>
      </c>
      <c r="H17" s="19" t="e">
        <f>#REF!</f>
        <v>#REF!</v>
      </c>
      <c r="I17" s="28" t="e">
        <f t="shared" si="1"/>
        <v>#REF!</v>
      </c>
      <c r="J17" s="31" t="e">
        <f t="shared" si="2"/>
        <v>#REF!</v>
      </c>
      <c r="K17" s="34"/>
      <c r="L17" s="27"/>
    </row>
    <row r="18" spans="1:14" ht="20.100000000000001" customHeight="1" x14ac:dyDescent="0.4">
      <c r="A18" s="1">
        <v>13</v>
      </c>
      <c r="B18" s="15" t="e">
        <f>#REF!</f>
        <v>#REF!</v>
      </c>
      <c r="C18" s="42" t="e">
        <f>#REF!</f>
        <v>#REF!</v>
      </c>
      <c r="D18" s="16" t="e">
        <f>#REF!</f>
        <v>#REF!</v>
      </c>
      <c r="E18" s="17" t="e">
        <f>#REF!</f>
        <v>#REF!</v>
      </c>
      <c r="F18" s="18" t="e">
        <f t="shared" si="0"/>
        <v>#REF!</v>
      </c>
      <c r="G18" s="22" t="e">
        <f>#REF!</f>
        <v>#REF!</v>
      </c>
      <c r="H18" s="23" t="e">
        <f>#REF!</f>
        <v>#REF!</v>
      </c>
      <c r="I18" s="28" t="e">
        <f t="shared" si="1"/>
        <v>#REF!</v>
      </c>
      <c r="J18" s="31" t="e">
        <f t="shared" si="2"/>
        <v>#REF!</v>
      </c>
      <c r="K18" s="35"/>
      <c r="L18" s="27"/>
    </row>
    <row r="19" spans="1:14" ht="20.100000000000001" customHeight="1" x14ac:dyDescent="0.4">
      <c r="A19" s="1">
        <v>14</v>
      </c>
      <c r="B19" s="15" t="e">
        <f>#REF!</f>
        <v>#REF!</v>
      </c>
      <c r="C19" s="42" t="e">
        <f>#REF!</f>
        <v>#REF!</v>
      </c>
      <c r="D19" s="16" t="e">
        <f>#REF!</f>
        <v>#REF!</v>
      </c>
      <c r="E19" s="17" t="e">
        <f>#REF!</f>
        <v>#REF!</v>
      </c>
      <c r="F19" s="18" t="e">
        <f t="shared" si="0"/>
        <v>#REF!</v>
      </c>
      <c r="G19" s="11" t="e">
        <f>#REF!</f>
        <v>#REF!</v>
      </c>
      <c r="H19" s="14" t="e">
        <f>#REF!</f>
        <v>#REF!</v>
      </c>
      <c r="I19" s="28" t="e">
        <f t="shared" si="1"/>
        <v>#REF!</v>
      </c>
      <c r="J19" s="31" t="e">
        <f t="shared" si="2"/>
        <v>#REF!</v>
      </c>
      <c r="K19" s="36"/>
      <c r="L19" s="27"/>
    </row>
    <row r="20" spans="1:14" ht="20.100000000000001" customHeight="1" x14ac:dyDescent="0.4">
      <c r="A20" s="1">
        <v>15</v>
      </c>
      <c r="B20" s="15" t="e">
        <f>#REF!</f>
        <v>#REF!</v>
      </c>
      <c r="C20" s="42" t="e">
        <f>#REF!</f>
        <v>#REF!</v>
      </c>
      <c r="D20" s="16" t="e">
        <f>#REF!</f>
        <v>#REF!</v>
      </c>
      <c r="E20" s="17" t="e">
        <f>#REF!</f>
        <v>#REF!</v>
      </c>
      <c r="F20" s="18" t="e">
        <f t="shared" si="0"/>
        <v>#REF!</v>
      </c>
      <c r="G20" s="11" t="e">
        <f>#REF!</f>
        <v>#REF!</v>
      </c>
      <c r="H20" s="14" t="e">
        <f>#REF!</f>
        <v>#REF!</v>
      </c>
      <c r="I20" s="28" t="e">
        <f t="shared" si="1"/>
        <v>#REF!</v>
      </c>
      <c r="J20" s="31" t="e">
        <f t="shared" si="2"/>
        <v>#REF!</v>
      </c>
      <c r="K20" s="36"/>
      <c r="L20" s="27"/>
    </row>
    <row r="21" spans="1:14" ht="20.100000000000001" customHeight="1" x14ac:dyDescent="0.4">
      <c r="A21" s="1">
        <v>16</v>
      </c>
      <c r="B21" s="15" t="e">
        <f>#REF!</f>
        <v>#REF!</v>
      </c>
      <c r="C21" s="42" t="e">
        <f>#REF!</f>
        <v>#REF!</v>
      </c>
      <c r="D21" s="16" t="e">
        <f>#REF!</f>
        <v>#REF!</v>
      </c>
      <c r="E21" s="17" t="e">
        <f>#REF!</f>
        <v>#REF!</v>
      </c>
      <c r="F21" s="18" t="e">
        <f t="shared" si="0"/>
        <v>#REF!</v>
      </c>
      <c r="G21" s="11" t="e">
        <f>#REF!</f>
        <v>#REF!</v>
      </c>
      <c r="H21" s="14" t="e">
        <f>#REF!</f>
        <v>#REF!</v>
      </c>
      <c r="I21" s="28" t="e">
        <f t="shared" si="1"/>
        <v>#REF!</v>
      </c>
      <c r="J21" s="31" t="e">
        <f t="shared" si="2"/>
        <v>#REF!</v>
      </c>
      <c r="K21" s="36"/>
      <c r="L21" s="27"/>
    </row>
    <row r="22" spans="1:14" ht="20.100000000000001" customHeight="1" x14ac:dyDescent="0.4">
      <c r="A22" s="1">
        <v>17</v>
      </c>
      <c r="B22" s="15" t="e">
        <f>#REF!</f>
        <v>#REF!</v>
      </c>
      <c r="C22" s="42" t="e">
        <f>#REF!</f>
        <v>#REF!</v>
      </c>
      <c r="D22" s="16" t="e">
        <f>#REF!</f>
        <v>#REF!</v>
      </c>
      <c r="E22" s="17" t="e">
        <f>#REF!</f>
        <v>#REF!</v>
      </c>
      <c r="F22" s="18" t="e">
        <f t="shared" si="0"/>
        <v>#REF!</v>
      </c>
      <c r="G22" s="11" t="e">
        <f>#REF!</f>
        <v>#REF!</v>
      </c>
      <c r="H22" s="14" t="e">
        <f>#REF!</f>
        <v>#REF!</v>
      </c>
      <c r="I22" s="28" t="e">
        <f t="shared" si="1"/>
        <v>#REF!</v>
      </c>
      <c r="J22" s="31" t="e">
        <f t="shared" si="2"/>
        <v>#REF!</v>
      </c>
      <c r="K22" s="36"/>
      <c r="L22" s="27"/>
      <c r="M22" s="37"/>
      <c r="N22" s="37"/>
    </row>
    <row r="23" spans="1:14" ht="20.100000000000001" customHeight="1" x14ac:dyDescent="0.4">
      <c r="A23" s="1">
        <v>18</v>
      </c>
      <c r="B23" s="15" t="e">
        <f>#REF!</f>
        <v>#REF!</v>
      </c>
      <c r="C23" s="42" t="e">
        <f>#REF!</f>
        <v>#REF!</v>
      </c>
      <c r="D23" s="16" t="e">
        <f>#REF!</f>
        <v>#REF!</v>
      </c>
      <c r="E23" s="17" t="e">
        <f>#REF!</f>
        <v>#REF!</v>
      </c>
      <c r="F23" s="18" t="e">
        <f t="shared" si="0"/>
        <v>#REF!</v>
      </c>
      <c r="G23" s="11" t="e">
        <f>#REF!</f>
        <v>#REF!</v>
      </c>
      <c r="H23" s="14" t="e">
        <f>#REF!</f>
        <v>#REF!</v>
      </c>
      <c r="I23" s="28" t="e">
        <f t="shared" si="1"/>
        <v>#REF!</v>
      </c>
      <c r="J23" s="31" t="e">
        <f t="shared" si="2"/>
        <v>#REF!</v>
      </c>
      <c r="K23" s="36"/>
      <c r="L23" s="27"/>
      <c r="M23" s="37"/>
      <c r="N23" s="37"/>
    </row>
    <row r="24" spans="1:14" ht="20.100000000000001" customHeight="1" x14ac:dyDescent="0.4">
      <c r="A24" s="1">
        <v>19</v>
      </c>
      <c r="B24" s="15" t="e">
        <f>#REF!</f>
        <v>#REF!</v>
      </c>
      <c r="C24" s="42" t="e">
        <f>#REF!</f>
        <v>#REF!</v>
      </c>
      <c r="D24" s="16" t="e">
        <f>#REF!</f>
        <v>#REF!</v>
      </c>
      <c r="E24" s="17" t="e">
        <f>#REF!</f>
        <v>#REF!</v>
      </c>
      <c r="F24" s="18" t="e">
        <f t="shared" si="0"/>
        <v>#REF!</v>
      </c>
      <c r="G24" s="11" t="e">
        <f>#REF!</f>
        <v>#REF!</v>
      </c>
      <c r="H24" s="14" t="e">
        <f>#REF!</f>
        <v>#REF!</v>
      </c>
      <c r="I24" s="28" t="e">
        <f t="shared" si="1"/>
        <v>#REF!</v>
      </c>
      <c r="J24" s="31" t="e">
        <f t="shared" si="2"/>
        <v>#REF!</v>
      </c>
      <c r="K24" s="36"/>
      <c r="L24" s="27"/>
    </row>
    <row r="25" spans="1:14" ht="20.100000000000001" customHeight="1" x14ac:dyDescent="0.4">
      <c r="A25" s="1">
        <v>20</v>
      </c>
      <c r="B25" s="15" t="e">
        <f>#REF!</f>
        <v>#REF!</v>
      </c>
      <c r="C25" s="42" t="e">
        <f>#REF!</f>
        <v>#REF!</v>
      </c>
      <c r="D25" s="16" t="e">
        <f>#REF!</f>
        <v>#REF!</v>
      </c>
      <c r="E25" s="17" t="e">
        <f>#REF!</f>
        <v>#REF!</v>
      </c>
      <c r="F25" s="18" t="e">
        <f t="shared" si="0"/>
        <v>#REF!</v>
      </c>
      <c r="G25" s="11" t="e">
        <f>#REF!</f>
        <v>#REF!</v>
      </c>
      <c r="H25" s="14" t="e">
        <f>#REF!</f>
        <v>#REF!</v>
      </c>
      <c r="I25" s="28" t="e">
        <f t="shared" si="1"/>
        <v>#REF!</v>
      </c>
      <c r="J25" s="31" t="e">
        <f t="shared" si="2"/>
        <v>#REF!</v>
      </c>
      <c r="K25" s="36"/>
      <c r="L25" s="27"/>
    </row>
    <row r="26" spans="1:14" ht="20.100000000000001" customHeight="1" x14ac:dyDescent="0.4">
      <c r="A26" s="1">
        <v>21</v>
      </c>
      <c r="B26" s="15" t="e">
        <f>#REF!</f>
        <v>#REF!</v>
      </c>
      <c r="C26" s="42" t="e">
        <f>#REF!</f>
        <v>#REF!</v>
      </c>
      <c r="D26" s="16" t="e">
        <f>#REF!</f>
        <v>#REF!</v>
      </c>
      <c r="E26" s="17" t="e">
        <f>#REF!</f>
        <v>#REF!</v>
      </c>
      <c r="F26" s="18" t="e">
        <f t="shared" si="0"/>
        <v>#REF!</v>
      </c>
      <c r="G26" s="11" t="e">
        <f>#REF!</f>
        <v>#REF!</v>
      </c>
      <c r="H26" s="14" t="e">
        <f>#REF!</f>
        <v>#REF!</v>
      </c>
      <c r="I26" s="28" t="e">
        <f t="shared" si="1"/>
        <v>#REF!</v>
      </c>
      <c r="J26" s="31" t="e">
        <f t="shared" si="2"/>
        <v>#REF!</v>
      </c>
      <c r="K26" s="36"/>
      <c r="L26" s="27"/>
    </row>
    <row r="27" spans="1:14" ht="20.100000000000001" customHeight="1" x14ac:dyDescent="0.4">
      <c r="A27" s="1">
        <v>22</v>
      </c>
      <c r="B27" s="15" t="e">
        <f>#REF!</f>
        <v>#REF!</v>
      </c>
      <c r="C27" s="42" t="e">
        <f>#REF!</f>
        <v>#REF!</v>
      </c>
      <c r="D27" s="16" t="e">
        <f>#REF!</f>
        <v>#REF!</v>
      </c>
      <c r="E27" s="17" t="e">
        <f>#REF!</f>
        <v>#REF!</v>
      </c>
      <c r="F27" s="18" t="e">
        <f t="shared" si="0"/>
        <v>#REF!</v>
      </c>
      <c r="G27" s="11" t="e">
        <f>#REF!</f>
        <v>#REF!</v>
      </c>
      <c r="H27" s="14" t="e">
        <f>#REF!</f>
        <v>#REF!</v>
      </c>
      <c r="I27" s="28" t="e">
        <f t="shared" si="1"/>
        <v>#REF!</v>
      </c>
      <c r="J27" s="31" t="e">
        <f t="shared" si="2"/>
        <v>#REF!</v>
      </c>
      <c r="K27" s="36"/>
      <c r="L27" s="27"/>
    </row>
    <row r="28" spans="1:14" ht="20.100000000000001" customHeight="1" x14ac:dyDescent="0.4">
      <c r="A28" s="1">
        <v>23</v>
      </c>
      <c r="B28" s="15" t="e">
        <f>#REF!</f>
        <v>#REF!</v>
      </c>
      <c r="C28" s="42" t="e">
        <f>#REF!</f>
        <v>#REF!</v>
      </c>
      <c r="D28" s="16" t="e">
        <f>#REF!</f>
        <v>#REF!</v>
      </c>
      <c r="E28" s="17" t="e">
        <f>#REF!</f>
        <v>#REF!</v>
      </c>
      <c r="F28" s="18" t="e">
        <f t="shared" si="0"/>
        <v>#REF!</v>
      </c>
      <c r="G28" s="11" t="e">
        <f>#REF!</f>
        <v>#REF!</v>
      </c>
      <c r="H28" s="14" t="e">
        <f>#REF!</f>
        <v>#REF!</v>
      </c>
      <c r="I28" s="28" t="e">
        <f t="shared" si="1"/>
        <v>#REF!</v>
      </c>
      <c r="J28" s="31" t="e">
        <f t="shared" si="2"/>
        <v>#REF!</v>
      </c>
      <c r="K28" s="36"/>
      <c r="L28" s="27"/>
    </row>
    <row r="29" spans="1:14" ht="20.100000000000001" customHeight="1" x14ac:dyDescent="0.4">
      <c r="A29" s="1">
        <v>24</v>
      </c>
      <c r="B29" s="15" t="e">
        <f>#REF!</f>
        <v>#REF!</v>
      </c>
      <c r="C29" s="42" t="e">
        <f>#REF!</f>
        <v>#REF!</v>
      </c>
      <c r="D29" s="16" t="e">
        <f>#REF!</f>
        <v>#REF!</v>
      </c>
      <c r="E29" s="17" t="e">
        <f>#REF!</f>
        <v>#REF!</v>
      </c>
      <c r="F29" s="18" t="e">
        <f t="shared" si="0"/>
        <v>#REF!</v>
      </c>
      <c r="G29" s="11" t="e">
        <f>#REF!</f>
        <v>#REF!</v>
      </c>
      <c r="H29" s="14" t="e">
        <f>#REF!</f>
        <v>#REF!</v>
      </c>
      <c r="I29" s="28" t="e">
        <f t="shared" si="1"/>
        <v>#REF!</v>
      </c>
      <c r="J29" s="31" t="e">
        <f t="shared" si="2"/>
        <v>#REF!</v>
      </c>
      <c r="K29" s="36"/>
      <c r="L29" s="27"/>
    </row>
    <row r="30" spans="1:14" ht="20.100000000000001" customHeight="1" x14ac:dyDescent="0.4">
      <c r="A30" s="1">
        <v>25</v>
      </c>
      <c r="B30" s="15" t="e">
        <f>#REF!</f>
        <v>#REF!</v>
      </c>
      <c r="C30" s="42" t="e">
        <f>#REF!</f>
        <v>#REF!</v>
      </c>
      <c r="D30" s="16" t="e">
        <f>#REF!</f>
        <v>#REF!</v>
      </c>
      <c r="E30" s="17" t="e">
        <f>#REF!</f>
        <v>#REF!</v>
      </c>
      <c r="F30" s="18" t="e">
        <f t="shared" si="0"/>
        <v>#REF!</v>
      </c>
      <c r="G30" s="11" t="e">
        <f>#REF!</f>
        <v>#REF!</v>
      </c>
      <c r="H30" s="14" t="e">
        <f>#REF!</f>
        <v>#REF!</v>
      </c>
      <c r="I30" s="28" t="e">
        <f t="shared" si="1"/>
        <v>#REF!</v>
      </c>
      <c r="J30" s="31" t="e">
        <f t="shared" si="2"/>
        <v>#REF!</v>
      </c>
      <c r="K30" s="36"/>
      <c r="L30" s="27"/>
    </row>
    <row r="31" spans="1:14" ht="20.100000000000001" customHeight="1" x14ac:dyDescent="0.4">
      <c r="A31" s="1">
        <v>26</v>
      </c>
      <c r="B31" s="15" t="e">
        <f>#REF!</f>
        <v>#REF!</v>
      </c>
      <c r="C31" s="42" t="e">
        <f>#REF!</f>
        <v>#REF!</v>
      </c>
      <c r="D31" s="16" t="e">
        <f>#REF!</f>
        <v>#REF!</v>
      </c>
      <c r="E31" s="17" t="e">
        <f>#REF!</f>
        <v>#REF!</v>
      </c>
      <c r="F31" s="18" t="e">
        <f t="shared" si="0"/>
        <v>#REF!</v>
      </c>
      <c r="G31" s="11" t="e">
        <f>#REF!</f>
        <v>#REF!</v>
      </c>
      <c r="H31" s="14" t="e">
        <f>#REF!</f>
        <v>#REF!</v>
      </c>
      <c r="I31" s="28" t="e">
        <f t="shared" si="1"/>
        <v>#REF!</v>
      </c>
      <c r="J31" s="31" t="e">
        <f t="shared" si="2"/>
        <v>#REF!</v>
      </c>
      <c r="K31" s="36"/>
      <c r="L31" s="27"/>
    </row>
    <row r="32" spans="1:14" ht="20.100000000000001" customHeight="1" x14ac:dyDescent="0.4">
      <c r="A32" s="1">
        <v>27</v>
      </c>
      <c r="B32" s="15" t="e">
        <f>#REF!</f>
        <v>#REF!</v>
      </c>
      <c r="C32" s="42" t="e">
        <f>#REF!</f>
        <v>#REF!</v>
      </c>
      <c r="D32" s="16" t="e">
        <f>#REF!</f>
        <v>#REF!</v>
      </c>
      <c r="E32" s="17" t="e">
        <f>#REF!</f>
        <v>#REF!</v>
      </c>
      <c r="F32" s="18" t="e">
        <f t="shared" si="0"/>
        <v>#REF!</v>
      </c>
      <c r="G32" s="11" t="e">
        <f>#REF!</f>
        <v>#REF!</v>
      </c>
      <c r="H32" s="14" t="e">
        <f>#REF!</f>
        <v>#REF!</v>
      </c>
      <c r="I32" s="28" t="e">
        <f t="shared" si="1"/>
        <v>#REF!</v>
      </c>
      <c r="J32" s="31" t="e">
        <f t="shared" si="2"/>
        <v>#REF!</v>
      </c>
      <c r="L32" s="27"/>
    </row>
    <row r="33" spans="1:12" ht="20.100000000000001" customHeight="1" x14ac:dyDescent="0.4">
      <c r="A33" s="1">
        <v>28</v>
      </c>
      <c r="B33" s="15" t="e">
        <f>#REF!</f>
        <v>#REF!</v>
      </c>
      <c r="C33" s="42" t="e">
        <f>#REF!</f>
        <v>#REF!</v>
      </c>
      <c r="D33" s="16" t="e">
        <f>#REF!</f>
        <v>#REF!</v>
      </c>
      <c r="E33" s="17" t="e">
        <f>#REF!</f>
        <v>#REF!</v>
      </c>
      <c r="F33" s="18" t="e">
        <f t="shared" si="0"/>
        <v>#REF!</v>
      </c>
      <c r="G33" s="11" t="e">
        <f>#REF!</f>
        <v>#REF!</v>
      </c>
      <c r="H33" s="14" t="e">
        <f>#REF!</f>
        <v>#REF!</v>
      </c>
      <c r="I33" s="28" t="e">
        <f t="shared" si="1"/>
        <v>#REF!</v>
      </c>
      <c r="J33" s="31" t="e">
        <f t="shared" si="2"/>
        <v>#REF!</v>
      </c>
      <c r="L33" s="27"/>
    </row>
    <row r="34" spans="1:12" ht="20.100000000000001" customHeight="1" x14ac:dyDescent="0.4">
      <c r="A34" s="1">
        <v>29</v>
      </c>
      <c r="B34" s="15" t="e">
        <f>#REF!</f>
        <v>#REF!</v>
      </c>
      <c r="C34" s="42" t="e">
        <f>#REF!</f>
        <v>#REF!</v>
      </c>
      <c r="D34" s="16" t="e">
        <f>#REF!</f>
        <v>#REF!</v>
      </c>
      <c r="E34" s="17" t="e">
        <f>#REF!</f>
        <v>#REF!</v>
      </c>
      <c r="F34" s="18" t="e">
        <f t="shared" si="0"/>
        <v>#REF!</v>
      </c>
      <c r="G34" s="11" t="e">
        <f>#REF!</f>
        <v>#REF!</v>
      </c>
      <c r="H34" s="14" t="e">
        <f>#REF!</f>
        <v>#REF!</v>
      </c>
      <c r="I34" s="28" t="e">
        <f t="shared" si="1"/>
        <v>#REF!</v>
      </c>
      <c r="J34" s="31" t="e">
        <f t="shared" si="2"/>
        <v>#REF!</v>
      </c>
      <c r="L34" s="27"/>
    </row>
    <row r="35" spans="1:12" ht="20.100000000000001" customHeight="1" x14ac:dyDescent="0.4">
      <c r="A35" s="1">
        <v>30</v>
      </c>
      <c r="B35" s="15" t="e">
        <f>#REF!</f>
        <v>#REF!</v>
      </c>
      <c r="C35" s="42" t="e">
        <f>#REF!</f>
        <v>#REF!</v>
      </c>
      <c r="D35" s="16" t="e">
        <f>#REF!</f>
        <v>#REF!</v>
      </c>
      <c r="E35" s="17" t="e">
        <f>#REF!</f>
        <v>#REF!</v>
      </c>
      <c r="F35" s="18" t="e">
        <f t="shared" si="0"/>
        <v>#REF!</v>
      </c>
      <c r="G35" s="11" t="e">
        <f>#REF!</f>
        <v>#REF!</v>
      </c>
      <c r="H35" s="14" t="e">
        <f>#REF!</f>
        <v>#REF!</v>
      </c>
      <c r="I35" s="28" t="e">
        <f t="shared" si="1"/>
        <v>#REF!</v>
      </c>
      <c r="J35" s="31" t="e">
        <f t="shared" si="2"/>
        <v>#REF!</v>
      </c>
      <c r="L35" s="27"/>
    </row>
    <row r="36" spans="1:12" ht="20.100000000000001" customHeight="1" x14ac:dyDescent="0.4">
      <c r="A36" s="1">
        <v>31</v>
      </c>
      <c r="B36" s="15" t="e">
        <f>#REF!</f>
        <v>#REF!</v>
      </c>
      <c r="C36" s="42" t="e">
        <f>#REF!</f>
        <v>#REF!</v>
      </c>
      <c r="D36" s="16" t="e">
        <f>#REF!</f>
        <v>#REF!</v>
      </c>
      <c r="E36" s="17" t="e">
        <f>#REF!</f>
        <v>#REF!</v>
      </c>
      <c r="F36" s="18" t="e">
        <f t="shared" si="0"/>
        <v>#REF!</v>
      </c>
      <c r="G36" s="11" t="e">
        <f>#REF!</f>
        <v>#REF!</v>
      </c>
      <c r="H36" s="14" t="e">
        <f>#REF!</f>
        <v>#REF!</v>
      </c>
      <c r="I36" s="28" t="e">
        <f t="shared" si="1"/>
        <v>#REF!</v>
      </c>
      <c r="J36" s="31" t="e">
        <f t="shared" si="2"/>
        <v>#REF!</v>
      </c>
      <c r="L36" s="27"/>
    </row>
    <row r="37" spans="1:12" ht="20.100000000000001" customHeight="1" x14ac:dyDescent="0.4">
      <c r="A37" s="1">
        <v>32</v>
      </c>
      <c r="B37" s="15" t="e">
        <f>#REF!</f>
        <v>#REF!</v>
      </c>
      <c r="C37" s="42" t="e">
        <f>#REF!</f>
        <v>#REF!</v>
      </c>
      <c r="D37" s="16" t="e">
        <f>#REF!</f>
        <v>#REF!</v>
      </c>
      <c r="E37" s="17" t="e">
        <f>#REF!</f>
        <v>#REF!</v>
      </c>
      <c r="F37" s="18" t="e">
        <f t="shared" si="0"/>
        <v>#REF!</v>
      </c>
      <c r="G37" s="11" t="e">
        <f>#REF!</f>
        <v>#REF!</v>
      </c>
      <c r="H37" s="14" t="e">
        <f>#REF!</f>
        <v>#REF!</v>
      </c>
      <c r="I37" s="28" t="e">
        <f t="shared" si="1"/>
        <v>#REF!</v>
      </c>
      <c r="J37" s="31" t="e">
        <f t="shared" si="2"/>
        <v>#REF!</v>
      </c>
      <c r="L37" s="27"/>
    </row>
    <row r="38" spans="1:12" ht="20.100000000000001" customHeight="1" x14ac:dyDescent="0.4">
      <c r="A38" s="1">
        <v>33</v>
      </c>
      <c r="B38" s="15" t="e">
        <f>#REF!</f>
        <v>#REF!</v>
      </c>
      <c r="C38" s="42" t="e">
        <f>#REF!</f>
        <v>#REF!</v>
      </c>
      <c r="D38" s="16" t="e">
        <f>#REF!</f>
        <v>#REF!</v>
      </c>
      <c r="E38" s="17" t="e">
        <f>#REF!</f>
        <v>#REF!</v>
      </c>
      <c r="F38" s="18" t="e">
        <f t="shared" si="0"/>
        <v>#REF!</v>
      </c>
      <c r="G38" s="11" t="e">
        <f>#REF!</f>
        <v>#REF!</v>
      </c>
      <c r="H38" s="14" t="e">
        <f>#REF!</f>
        <v>#REF!</v>
      </c>
      <c r="I38" s="28" t="e">
        <f t="shared" si="1"/>
        <v>#REF!</v>
      </c>
      <c r="J38" s="31" t="e">
        <f t="shared" si="2"/>
        <v>#REF!</v>
      </c>
      <c r="L38" s="27"/>
    </row>
    <row r="39" spans="1:12" ht="20.100000000000001" customHeight="1" x14ac:dyDescent="0.4">
      <c r="A39" s="1">
        <v>34</v>
      </c>
      <c r="B39" s="15" t="e">
        <f>#REF!</f>
        <v>#REF!</v>
      </c>
      <c r="C39" s="42" t="e">
        <f>#REF!</f>
        <v>#REF!</v>
      </c>
      <c r="D39" s="16" t="e">
        <f>#REF!</f>
        <v>#REF!</v>
      </c>
      <c r="E39" s="17" t="e">
        <f>#REF!</f>
        <v>#REF!</v>
      </c>
      <c r="F39" s="18" t="e">
        <f t="shared" si="0"/>
        <v>#REF!</v>
      </c>
      <c r="G39" s="11" t="e">
        <f>#REF!</f>
        <v>#REF!</v>
      </c>
      <c r="H39" s="14" t="e">
        <f>#REF!</f>
        <v>#REF!</v>
      </c>
      <c r="I39" s="28" t="e">
        <f t="shared" si="1"/>
        <v>#REF!</v>
      </c>
      <c r="J39" s="31" t="e">
        <f t="shared" si="2"/>
        <v>#REF!</v>
      </c>
      <c r="L39" s="27"/>
    </row>
    <row r="40" spans="1:12" ht="20.100000000000001" customHeight="1" x14ac:dyDescent="0.4">
      <c r="A40" s="1">
        <v>35</v>
      </c>
      <c r="B40" s="15" t="e">
        <f>#REF!</f>
        <v>#REF!</v>
      </c>
      <c r="C40" s="42" t="e">
        <f>#REF!</f>
        <v>#REF!</v>
      </c>
      <c r="D40" s="16" t="e">
        <f>#REF!</f>
        <v>#REF!</v>
      </c>
      <c r="E40" s="17" t="e">
        <f>#REF!</f>
        <v>#REF!</v>
      </c>
      <c r="F40" s="18" t="e">
        <f t="shared" si="0"/>
        <v>#REF!</v>
      </c>
      <c r="G40" s="11" t="e">
        <f>#REF!</f>
        <v>#REF!</v>
      </c>
      <c r="H40" s="14" t="e">
        <f>#REF!</f>
        <v>#REF!</v>
      </c>
      <c r="I40" s="28" t="e">
        <f t="shared" si="1"/>
        <v>#REF!</v>
      </c>
      <c r="J40" s="31" t="e">
        <f t="shared" si="2"/>
        <v>#REF!</v>
      </c>
      <c r="L40" s="27"/>
    </row>
    <row r="41" spans="1:12" ht="20.100000000000001" customHeight="1" x14ac:dyDescent="0.4">
      <c r="A41" s="1">
        <v>36</v>
      </c>
      <c r="B41" s="15" t="e">
        <f>#REF!</f>
        <v>#REF!</v>
      </c>
      <c r="C41" s="42" t="e">
        <f>#REF!</f>
        <v>#REF!</v>
      </c>
      <c r="D41" s="16" t="e">
        <f>#REF!</f>
        <v>#REF!</v>
      </c>
      <c r="E41" s="17" t="e">
        <f>#REF!</f>
        <v>#REF!</v>
      </c>
      <c r="F41" s="18" t="e">
        <f t="shared" si="0"/>
        <v>#REF!</v>
      </c>
      <c r="G41" s="11" t="e">
        <f>#REF!</f>
        <v>#REF!</v>
      </c>
      <c r="H41" s="14" t="e">
        <f>#REF!</f>
        <v>#REF!</v>
      </c>
      <c r="I41" s="28" t="e">
        <f t="shared" si="1"/>
        <v>#REF!</v>
      </c>
      <c r="J41" s="31" t="e">
        <f t="shared" si="2"/>
        <v>#REF!</v>
      </c>
      <c r="L41" s="27"/>
    </row>
    <row r="42" spans="1:12" ht="20.100000000000001" customHeight="1" x14ac:dyDescent="0.4">
      <c r="A42" s="1">
        <v>37</v>
      </c>
      <c r="B42" s="15" t="e">
        <f>#REF!</f>
        <v>#REF!</v>
      </c>
      <c r="C42" s="42" t="e">
        <f>#REF!</f>
        <v>#REF!</v>
      </c>
      <c r="D42" s="16" t="e">
        <f>#REF!</f>
        <v>#REF!</v>
      </c>
      <c r="E42" s="17" t="e">
        <f>#REF!</f>
        <v>#REF!</v>
      </c>
      <c r="F42" s="18" t="e">
        <f t="shared" si="0"/>
        <v>#REF!</v>
      </c>
      <c r="G42" s="11" t="e">
        <f>#REF!</f>
        <v>#REF!</v>
      </c>
      <c r="H42" s="14" t="e">
        <f>#REF!</f>
        <v>#REF!</v>
      </c>
      <c r="I42" s="28" t="e">
        <f t="shared" si="1"/>
        <v>#REF!</v>
      </c>
      <c r="J42" s="31" t="e">
        <f t="shared" si="2"/>
        <v>#REF!</v>
      </c>
      <c r="L42" s="27"/>
    </row>
    <row r="43" spans="1:12" ht="20.100000000000001" customHeight="1" x14ac:dyDescent="0.4">
      <c r="A43" s="1">
        <v>38</v>
      </c>
      <c r="B43" s="15" t="e">
        <f>#REF!</f>
        <v>#REF!</v>
      </c>
      <c r="C43" s="42" t="e">
        <f>#REF!</f>
        <v>#REF!</v>
      </c>
      <c r="D43" s="16" t="e">
        <f>#REF!</f>
        <v>#REF!</v>
      </c>
      <c r="E43" s="17" t="e">
        <f>#REF!</f>
        <v>#REF!</v>
      </c>
      <c r="F43" s="18" t="e">
        <f t="shared" si="0"/>
        <v>#REF!</v>
      </c>
      <c r="G43" s="11" t="e">
        <f>#REF!</f>
        <v>#REF!</v>
      </c>
      <c r="H43" s="14" t="e">
        <f>#REF!</f>
        <v>#REF!</v>
      </c>
      <c r="I43" s="28" t="e">
        <f t="shared" si="1"/>
        <v>#REF!</v>
      </c>
      <c r="J43" s="31" t="e">
        <f t="shared" si="2"/>
        <v>#REF!</v>
      </c>
      <c r="L43" s="27"/>
    </row>
  </sheetData>
  <sheetProtection sort="0"/>
  <mergeCells count="6">
    <mergeCell ref="O3:W3"/>
    <mergeCell ref="A4:L4"/>
    <mergeCell ref="B5:C5"/>
    <mergeCell ref="A1:L1"/>
    <mergeCell ref="A2:L2"/>
    <mergeCell ref="A3:L3"/>
  </mergeCells>
  <phoneticPr fontId="16"/>
  <conditionalFormatting sqref="L6">
    <cfRule type="cellIs" dxfId="6" priority="6" stopIfTrue="1" operator="equal">
      <formula>"出場候補"</formula>
    </cfRule>
  </conditionalFormatting>
  <conditionalFormatting sqref="L6:L43">
    <cfRule type="cellIs" dxfId="5" priority="5" stopIfTrue="1" operator="equal">
      <formula>"出場候補"</formula>
    </cfRule>
  </conditionalFormatting>
  <conditionalFormatting sqref="L7:L20">
    <cfRule type="cellIs" dxfId="4" priority="3" stopIfTrue="1" operator="equal">
      <formula>"プレーオフ"</formula>
    </cfRule>
    <cfRule type="cellIs" dxfId="3" priority="4" stopIfTrue="1" operator="equal">
      <formula>"プレーオフ"</formula>
    </cfRule>
  </conditionalFormatting>
  <conditionalFormatting sqref="L7:L19">
    <cfRule type="cellIs" dxfId="2" priority="2" stopIfTrue="1" operator="equal">
      <formula>"出場候補"</formula>
    </cfRule>
  </conditionalFormatting>
  <conditionalFormatting sqref="L20:L43">
    <cfRule type="cellIs" dxfId="1" priority="1" stopIfTrue="1" operator="equal">
      <formula>"出場候補"</formula>
    </cfRule>
  </conditionalFormatting>
  <conditionalFormatting sqref="L7:L43 L5">
    <cfRule type="cellIs" dxfId="0" priority="18" stopIfTrue="1" operator="equal">
      <formula>"出場候補"</formula>
    </cfRule>
  </conditionalFormatting>
  <printOptions horizontalCentered="1"/>
  <pageMargins left="0" right="0" top="0.39305555555555599" bottom="0.196527777777778" header="0" footer="0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Pict="0" macro="[0]!Macro2">
                <anchor moveWithCells="1">
                  <from>
                    <xdr:col>12</xdr:col>
                    <xdr:colOff>47625</xdr:colOff>
                    <xdr:row>3</xdr:row>
                    <xdr:rowOff>19050</xdr:rowOff>
                  </from>
                  <to>
                    <xdr:col>12</xdr:col>
                    <xdr:colOff>762000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"/>
  <sheetViews>
    <sheetView workbookViewId="0"/>
  </sheetViews>
  <sheetFormatPr defaultRowHeight="18.75" x14ac:dyDescent="0.4"/>
  <sheetData/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D76"/>
  <sheetViews>
    <sheetView zoomScaleNormal="100" zoomScaleSheetLayoutView="100" zoomScalePageLayoutView="85" workbookViewId="0">
      <pane xSplit="30" ySplit="2" topLeftCell="AE3" activePane="bottomRight" state="frozen"/>
      <selection pane="topRight" activeCell="AE1" sqref="AE1"/>
      <selection pane="bottomLeft" activeCell="A3" sqref="A3"/>
      <selection pane="bottomRight" activeCell="AE3" sqref="AE3"/>
    </sheetView>
  </sheetViews>
  <sheetFormatPr defaultRowHeight="18.75" x14ac:dyDescent="0.4"/>
  <cols>
    <col min="1" max="1" width="3.5" customWidth="1"/>
    <col min="2" max="2" width="7.5" customWidth="1"/>
    <col min="3" max="3" width="3.875" style="43" customWidth="1"/>
    <col min="4" max="4" width="2.5" style="43" customWidth="1"/>
    <col min="5" max="5" width="4.125" style="43" customWidth="1"/>
    <col min="6" max="6" width="10.25" customWidth="1"/>
    <col min="7" max="7" width="3.5" customWidth="1"/>
    <col min="8" max="8" width="5.75" customWidth="1"/>
    <col min="9" max="9" width="4.375" customWidth="1"/>
    <col min="10" max="11" width="3.75" customWidth="1"/>
    <col min="12" max="12" width="9.875" customWidth="1"/>
    <col min="13" max="13" width="3.75" customWidth="1"/>
    <col min="14" max="14" width="5.875" customWidth="1"/>
    <col min="15" max="15" width="5.125" customWidth="1"/>
    <col min="16" max="16" width="3.625" customWidth="1"/>
    <col min="17" max="17" width="4.125" customWidth="1"/>
    <col min="18" max="18" width="10" customWidth="1"/>
    <col min="19" max="19" width="3.375" customWidth="1"/>
    <col min="20" max="20" width="6" customWidth="1"/>
    <col min="21" max="21" width="3.5" customWidth="1"/>
    <col min="22" max="22" width="3.375" customWidth="1"/>
    <col min="23" max="23" width="4.125" customWidth="1"/>
    <col min="24" max="24" width="9.5" customWidth="1"/>
    <col min="25" max="25" width="9" hidden="1" customWidth="1"/>
    <col min="26" max="26" width="5.875" hidden="1" customWidth="1"/>
    <col min="27" max="27" width="9.75" hidden="1" customWidth="1"/>
    <col min="28" max="29" width="5.5" hidden="1" customWidth="1"/>
    <col min="30" max="30" width="9" hidden="1" customWidth="1"/>
    <col min="31" max="34" width="9" customWidth="1"/>
  </cols>
  <sheetData>
    <row r="1" spans="1:29" s="94" customFormat="1" ht="24.75" customHeight="1" x14ac:dyDescent="0.4">
      <c r="A1" s="94" t="s">
        <v>143</v>
      </c>
      <c r="C1" s="95"/>
      <c r="D1" s="95"/>
      <c r="E1" s="95"/>
      <c r="Y1" s="239" t="s">
        <v>235</v>
      </c>
      <c r="AA1" s="96">
        <v>0.375</v>
      </c>
      <c r="AB1" s="241" t="s">
        <v>238</v>
      </c>
    </row>
    <row r="2" spans="1:29" ht="6.75" customHeight="1" x14ac:dyDescent="0.4"/>
    <row r="3" spans="1:29" s="83" customFormat="1" ht="18.75" customHeight="1" x14ac:dyDescent="0.4">
      <c r="A3" s="83" t="s">
        <v>51</v>
      </c>
      <c r="C3" s="84"/>
      <c r="D3" s="84"/>
      <c r="E3" s="84"/>
      <c r="F3" s="85">
        <f>U10組合せ!B19</f>
        <v>44296</v>
      </c>
      <c r="H3" s="85" t="str">
        <f>"("&amp;U10組合せ!C19&amp;")"</f>
        <v>(土)</v>
      </c>
      <c r="Y3" t="s">
        <v>236</v>
      </c>
      <c r="AA3" s="118">
        <v>0.5625</v>
      </c>
    </row>
    <row r="4" spans="1:29" ht="6.75" customHeight="1" x14ac:dyDescent="0.4"/>
    <row r="5" spans="1:29" ht="17.25" customHeight="1" x14ac:dyDescent="0.4">
      <c r="A5" s="421" t="s">
        <v>35</v>
      </c>
      <c r="B5" s="422"/>
      <c r="C5" s="411" t="str">
        <f>U10組合せ!E20</f>
        <v>A1234</v>
      </c>
      <c r="D5" s="412"/>
      <c r="E5" s="412"/>
      <c r="F5" s="413"/>
      <c r="G5" s="421" t="s">
        <v>35</v>
      </c>
      <c r="H5" s="422"/>
      <c r="I5" s="411" t="str">
        <f>U10組合せ!G20</f>
        <v>B1234</v>
      </c>
      <c r="J5" s="412"/>
      <c r="K5" s="412"/>
      <c r="L5" s="413"/>
      <c r="M5" s="421" t="s">
        <v>35</v>
      </c>
      <c r="N5" s="422"/>
      <c r="O5" s="411" t="str">
        <f>U10組合せ!I20</f>
        <v>C1234</v>
      </c>
      <c r="P5" s="412"/>
      <c r="Q5" s="412"/>
      <c r="R5" s="413"/>
      <c r="S5" s="421" t="s">
        <v>35</v>
      </c>
      <c r="T5" s="422"/>
      <c r="U5" s="411"/>
      <c r="V5" s="412"/>
      <c r="W5" s="412"/>
      <c r="X5" s="413"/>
      <c r="Y5" s="240" t="s">
        <v>237</v>
      </c>
      <c r="AA5" s="86">
        <v>0.375</v>
      </c>
    </row>
    <row r="6" spans="1:29" x14ac:dyDescent="0.4">
      <c r="A6" s="414" t="s">
        <v>36</v>
      </c>
      <c r="B6" s="415"/>
      <c r="C6" s="416" t="str">
        <f>IF(U10組合せ!E19="","未定",U10組合せ!E19)</f>
        <v>清原南小</v>
      </c>
      <c r="D6" s="417"/>
      <c r="E6" s="417"/>
      <c r="F6" s="418"/>
      <c r="G6" s="414" t="s">
        <v>36</v>
      </c>
      <c r="H6" s="415"/>
      <c r="I6" s="416" t="str">
        <f>IF(U10組合せ!G19="","未定",U10組合せ!G19)</f>
        <v>石井 6 AM</v>
      </c>
      <c r="J6" s="417"/>
      <c r="K6" s="417"/>
      <c r="L6" s="418"/>
      <c r="M6" s="414" t="s">
        <v>36</v>
      </c>
      <c r="N6" s="415"/>
      <c r="O6" s="416" t="str">
        <f>IF(U10組合せ!I19="","未定",U10組合せ!I19)</f>
        <v>陽南小</v>
      </c>
      <c r="P6" s="417"/>
      <c r="Q6" s="417"/>
      <c r="R6" s="418"/>
      <c r="S6" s="414" t="s">
        <v>36</v>
      </c>
      <c r="T6" s="415"/>
      <c r="U6" s="416"/>
      <c r="V6" s="417"/>
      <c r="W6" s="417"/>
      <c r="X6" s="418"/>
      <c r="Z6" s="107" t="str">
        <f>IF(COUNTIF(C6,"*AM*"),"AM",IF(COUNTIF(C6,"*PM*"),"PM","AMF"))</f>
        <v>AMF</v>
      </c>
      <c r="AA6" s="107" t="str">
        <f>IF(COUNTIF(I6,"*AM*"),"AM",IF(COUNTIF(I6,"*PM*"),"PM","AMF"))</f>
        <v>AM</v>
      </c>
      <c r="AB6" s="107" t="str">
        <f>IF(COUNTIF(O6,"*AM*"),"AM",IF(COUNTIF(O6,"*PM*"),"PM","AMF"))</f>
        <v>AMF</v>
      </c>
      <c r="AC6" s="107" t="str">
        <f>IF(COUNTIF(U6,"*AM*"),"AM",IF(COUNTIF(U6,"*PM*"),"PM","AMF"))</f>
        <v>AMF</v>
      </c>
    </row>
    <row r="7" spans="1:29" x14ac:dyDescent="0.4">
      <c r="A7" s="419" t="s">
        <v>37</v>
      </c>
      <c r="B7" s="420"/>
      <c r="C7" s="408" t="str">
        <f>U10組合せ!D13</f>
        <v>清原シザース</v>
      </c>
      <c r="D7" s="409"/>
      <c r="E7" s="409"/>
      <c r="F7" s="410"/>
      <c r="G7" s="419" t="s">
        <v>37</v>
      </c>
      <c r="H7" s="420"/>
      <c r="I7" s="408" t="str">
        <f>U10組合せ!F13</f>
        <v>FCアネーロ・U-10</v>
      </c>
      <c r="J7" s="409"/>
      <c r="K7" s="409"/>
      <c r="L7" s="410"/>
      <c r="M7" s="419" t="s">
        <v>37</v>
      </c>
      <c r="N7" s="420"/>
      <c r="O7" s="408" t="str">
        <f>U10組合せ!H13</f>
        <v>緑ヶ丘YFC</v>
      </c>
      <c r="P7" s="409"/>
      <c r="Q7" s="409"/>
      <c r="R7" s="410"/>
      <c r="S7" s="419" t="s">
        <v>37</v>
      </c>
      <c r="T7" s="420"/>
      <c r="U7" s="408"/>
      <c r="V7" s="409"/>
      <c r="W7" s="409"/>
      <c r="X7" s="410"/>
    </row>
    <row r="8" spans="1:29" x14ac:dyDescent="0.4">
      <c r="A8" s="91" t="str">
        <f>IF(Z6="AM","①",IF(Z6="PM","④",IF(Z6="AMF","①","")))</f>
        <v>①</v>
      </c>
      <c r="B8" s="92">
        <f>IF(Z6="AM",$AA$1,IF(Z6="PM",$AA$3,IF(Z6="AMF",$AA$5,"")))</f>
        <v>0.375</v>
      </c>
      <c r="C8" s="80">
        <v>1</v>
      </c>
      <c r="D8" s="70" t="s">
        <v>41</v>
      </c>
      <c r="E8" s="81">
        <v>2</v>
      </c>
      <c r="F8" s="71" t="s">
        <v>90</v>
      </c>
      <c r="G8" s="91" t="str">
        <f>IF(AA6="AM","①",IF(AA6="PM","④",IF(AA6="AMF","①","")))</f>
        <v>①</v>
      </c>
      <c r="H8" s="92">
        <f>IF(AA6="AM",$AA$1,IF(AA6="PM",$AA$3,IF(AA6="AMF",$AA$5,"")))</f>
        <v>0.375</v>
      </c>
      <c r="I8" s="80">
        <v>1</v>
      </c>
      <c r="J8" s="70" t="s">
        <v>41</v>
      </c>
      <c r="K8" s="81">
        <v>2</v>
      </c>
      <c r="L8" s="71" t="s">
        <v>90</v>
      </c>
      <c r="M8" s="91" t="str">
        <f>IF(AB6="AM","①",IF(AB6="PM","④",IF(AB6="AMF","①","")))</f>
        <v>①</v>
      </c>
      <c r="N8" s="92">
        <f>IF(AB6="AM",$AA$1,IF(AB6="PM",$AA$3,IF(AB6="AMF",$AA$5,"")))</f>
        <v>0.375</v>
      </c>
      <c r="O8" s="80">
        <v>1</v>
      </c>
      <c r="P8" s="70" t="s">
        <v>41</v>
      </c>
      <c r="Q8" s="81">
        <v>2</v>
      </c>
      <c r="R8" s="71" t="s">
        <v>90</v>
      </c>
      <c r="S8" s="91" t="str">
        <f>IF(AC6="AM","①",IF(AC6="PM","④",IF(AC6="AMF","①","")))</f>
        <v>①</v>
      </c>
      <c r="T8" s="92">
        <f>IF(AC6="AM",$AA$1,IF(AC6="PM",$AA$3,IF(AC6="AMF",$AA$5,"")))</f>
        <v>0.375</v>
      </c>
      <c r="U8" s="80"/>
      <c r="V8" s="70"/>
      <c r="W8" s="81"/>
      <c r="X8" s="71"/>
      <c r="Z8" t="s">
        <v>227</v>
      </c>
      <c r="AA8" t="s">
        <v>231</v>
      </c>
    </row>
    <row r="9" spans="1:29" x14ac:dyDescent="0.4">
      <c r="A9" s="79" t="s">
        <v>61</v>
      </c>
      <c r="B9" s="68">
        <f>B8+0.0278</f>
        <v>0.40279999999999999</v>
      </c>
      <c r="C9" s="80">
        <v>3</v>
      </c>
      <c r="D9" s="70"/>
      <c r="E9" s="81">
        <v>4</v>
      </c>
      <c r="F9" s="71" t="s">
        <v>91</v>
      </c>
      <c r="G9" s="79" t="s">
        <v>61</v>
      </c>
      <c r="H9" s="68">
        <f>H8+0.0278</f>
        <v>0.40279999999999999</v>
      </c>
      <c r="I9" s="80">
        <v>3</v>
      </c>
      <c r="J9" s="70" t="s">
        <v>112</v>
      </c>
      <c r="K9" s="81">
        <v>4</v>
      </c>
      <c r="L9" s="71" t="s">
        <v>91</v>
      </c>
      <c r="M9" s="79" t="s">
        <v>61</v>
      </c>
      <c r="N9" s="68">
        <f>N8+0.0278</f>
        <v>0.40279999999999999</v>
      </c>
      <c r="O9" s="80">
        <v>3</v>
      </c>
      <c r="P9" s="70" t="s">
        <v>112</v>
      </c>
      <c r="Q9" s="81">
        <v>4</v>
      </c>
      <c r="R9" s="71" t="s">
        <v>91</v>
      </c>
      <c r="S9" s="79" t="s">
        <v>61</v>
      </c>
      <c r="T9" s="68">
        <f>T8+0.0278</f>
        <v>0.40279999999999999</v>
      </c>
      <c r="U9" s="80"/>
      <c r="V9" s="70"/>
      <c r="W9" s="81"/>
      <c r="X9" s="71"/>
      <c r="Z9" t="s">
        <v>228</v>
      </c>
      <c r="AA9" t="s">
        <v>232</v>
      </c>
    </row>
    <row r="10" spans="1:29" x14ac:dyDescent="0.4">
      <c r="A10" s="63" t="s">
        <v>63</v>
      </c>
      <c r="B10" s="68">
        <f>B9+0.035</f>
        <v>0.43779999999999997</v>
      </c>
      <c r="C10" s="75">
        <v>1</v>
      </c>
      <c r="D10" s="64" t="s">
        <v>41</v>
      </c>
      <c r="E10" s="76">
        <v>4</v>
      </c>
      <c r="F10" s="65" t="s">
        <v>93</v>
      </c>
      <c r="G10" s="63" t="s">
        <v>63</v>
      </c>
      <c r="H10" s="68">
        <f>H9+0.035</f>
        <v>0.43779999999999997</v>
      </c>
      <c r="I10" s="75">
        <v>1</v>
      </c>
      <c r="J10" s="64" t="s">
        <v>41</v>
      </c>
      <c r="K10" s="76">
        <v>4</v>
      </c>
      <c r="L10" s="65" t="s">
        <v>93</v>
      </c>
      <c r="M10" s="63" t="s">
        <v>63</v>
      </c>
      <c r="N10" s="68">
        <f>N9+0.035</f>
        <v>0.43779999999999997</v>
      </c>
      <c r="O10" s="75">
        <v>1</v>
      </c>
      <c r="P10" s="64" t="s">
        <v>41</v>
      </c>
      <c r="Q10" s="76">
        <v>4</v>
      </c>
      <c r="R10" s="65" t="s">
        <v>93</v>
      </c>
      <c r="S10" s="63" t="s">
        <v>63</v>
      </c>
      <c r="T10" s="68">
        <f>T9+0.035</f>
        <v>0.43779999999999997</v>
      </c>
      <c r="U10" s="75"/>
      <c r="V10" s="64"/>
      <c r="W10" s="76"/>
      <c r="X10" s="65"/>
      <c r="Z10" t="s">
        <v>229</v>
      </c>
      <c r="AA10" t="s">
        <v>233</v>
      </c>
    </row>
    <row r="11" spans="1:29" x14ac:dyDescent="0.4">
      <c r="A11" s="66" t="s">
        <v>65</v>
      </c>
      <c r="B11" s="69">
        <f>B10+0.0278</f>
        <v>0.46559999999999996</v>
      </c>
      <c r="C11" s="77">
        <v>3</v>
      </c>
      <c r="D11" s="67" t="s">
        <v>41</v>
      </c>
      <c r="E11" s="78">
        <v>2</v>
      </c>
      <c r="F11" s="82" t="s">
        <v>92</v>
      </c>
      <c r="G11" s="66" t="s">
        <v>65</v>
      </c>
      <c r="H11" s="69">
        <f>H10+0.0278</f>
        <v>0.46559999999999996</v>
      </c>
      <c r="I11" s="77">
        <v>3</v>
      </c>
      <c r="J11" s="67" t="s">
        <v>41</v>
      </c>
      <c r="K11" s="78">
        <v>2</v>
      </c>
      <c r="L11" s="82" t="s">
        <v>92</v>
      </c>
      <c r="M11" s="66" t="s">
        <v>65</v>
      </c>
      <c r="N11" s="69">
        <f>N10+0.0278</f>
        <v>0.46559999999999996</v>
      </c>
      <c r="O11" s="77">
        <v>3</v>
      </c>
      <c r="P11" s="67" t="s">
        <v>41</v>
      </c>
      <c r="Q11" s="78">
        <v>2</v>
      </c>
      <c r="R11" s="82" t="s">
        <v>92</v>
      </c>
      <c r="S11" s="66" t="s">
        <v>65</v>
      </c>
      <c r="T11" s="69">
        <f>T10+0.0278</f>
        <v>0.46559999999999996</v>
      </c>
      <c r="U11" s="77"/>
      <c r="V11" s="67"/>
      <c r="W11" s="78"/>
      <c r="X11" s="82"/>
      <c r="Z11" t="s">
        <v>230</v>
      </c>
      <c r="AA11" t="s">
        <v>234</v>
      </c>
    </row>
    <row r="12" spans="1:29" ht="2.25" customHeight="1" x14ac:dyDescent="0.4">
      <c r="I12" s="43"/>
      <c r="J12" s="43"/>
      <c r="K12" s="43"/>
      <c r="O12" s="43"/>
      <c r="P12" s="43"/>
      <c r="Q12" s="43"/>
      <c r="U12" s="43"/>
      <c r="V12" s="43"/>
      <c r="W12" s="43"/>
    </row>
    <row r="13" spans="1:29" x14ac:dyDescent="0.4">
      <c r="A13" s="421" t="s">
        <v>35</v>
      </c>
      <c r="B13" s="422"/>
      <c r="C13" s="411" t="str">
        <f>U10組合せ!E22</f>
        <v>A5678</v>
      </c>
      <c r="D13" s="412"/>
      <c r="E13" s="412"/>
      <c r="F13" s="413"/>
      <c r="G13" s="421" t="s">
        <v>35</v>
      </c>
      <c r="H13" s="422"/>
      <c r="I13" s="411" t="str">
        <f>U10組合せ!G22</f>
        <v>B567</v>
      </c>
      <c r="J13" s="412"/>
      <c r="K13" s="412"/>
      <c r="L13" s="413"/>
      <c r="M13" s="421" t="s">
        <v>35</v>
      </c>
      <c r="N13" s="422"/>
      <c r="O13" s="411" t="str">
        <f>U10組合せ!I22</f>
        <v>C567</v>
      </c>
      <c r="P13" s="412"/>
      <c r="Q13" s="412"/>
      <c r="R13" s="413"/>
      <c r="S13" s="421" t="s">
        <v>35</v>
      </c>
      <c r="T13" s="422"/>
      <c r="U13" s="411"/>
      <c r="V13" s="412"/>
      <c r="W13" s="412"/>
      <c r="X13" s="413"/>
    </row>
    <row r="14" spans="1:29" x14ac:dyDescent="0.4">
      <c r="A14" s="414" t="s">
        <v>36</v>
      </c>
      <c r="B14" s="415"/>
      <c r="C14" s="416" t="str">
        <f>IF(U10組合せ!E21="","未定",U10組合せ!E21)</f>
        <v>上河内西小</v>
      </c>
      <c r="D14" s="417"/>
      <c r="E14" s="417"/>
      <c r="F14" s="418"/>
      <c r="G14" s="414" t="s">
        <v>54</v>
      </c>
      <c r="H14" s="415"/>
      <c r="I14" s="416" t="str">
        <f>IF(U10組合せ!G21="","未定",U10組合せ!G21)</f>
        <v>姿川中央小</v>
      </c>
      <c r="J14" s="417"/>
      <c r="K14" s="417"/>
      <c r="L14" s="418"/>
      <c r="M14" s="414" t="s">
        <v>54</v>
      </c>
      <c r="N14" s="415"/>
      <c r="O14" s="416" t="str">
        <f>IF(U10組合せ!I21="","未定",U10組合せ!I21)</f>
        <v>石井 6 PM</v>
      </c>
      <c r="P14" s="417"/>
      <c r="Q14" s="417"/>
      <c r="R14" s="418"/>
      <c r="S14" s="414" t="s">
        <v>54</v>
      </c>
      <c r="T14" s="415"/>
      <c r="U14" s="416"/>
      <c r="V14" s="417"/>
      <c r="W14" s="417"/>
      <c r="X14" s="418"/>
      <c r="Z14" s="107" t="str">
        <f>IF(COUNTIF(C14,"*AM*"),"AM",IF(COUNTIF(C14,"*PM*"),"PM","AMF"))</f>
        <v>AMF</v>
      </c>
      <c r="AA14" s="107" t="str">
        <f>IF(COUNTIF(I14,"*AM*"),"AM",IF(COUNTIF(I14,"*PM*"),"PM","AMF"))</f>
        <v>AMF</v>
      </c>
      <c r="AB14" s="107" t="str">
        <f>IF(COUNTIF(O14,"*AM*"),"AM",IF(COUNTIF(O14,"*PM*"),"PM","AMF"))</f>
        <v>PM</v>
      </c>
      <c r="AC14" s="107" t="str">
        <f>IF(COUNTIF(U14,"*AM*"),"AM",IF(COUNTIF(U14,"*PM*"),"PM","AMF"))</f>
        <v>AMF</v>
      </c>
    </row>
    <row r="15" spans="1:29" x14ac:dyDescent="0.4">
      <c r="A15" s="414" t="s">
        <v>37</v>
      </c>
      <c r="B15" s="415"/>
      <c r="C15" s="408" t="str">
        <f>U10組合せ!D16</f>
        <v>上河内JSC</v>
      </c>
      <c r="D15" s="409"/>
      <c r="E15" s="409"/>
      <c r="F15" s="410"/>
      <c r="G15" s="414" t="s">
        <v>37</v>
      </c>
      <c r="H15" s="415"/>
      <c r="I15" s="408" t="str">
        <f>U10組合せ!F14</f>
        <v>SUGAO・SC</v>
      </c>
      <c r="J15" s="409"/>
      <c r="K15" s="409"/>
      <c r="L15" s="410"/>
      <c r="M15" s="414" t="s">
        <v>37</v>
      </c>
      <c r="N15" s="415"/>
      <c r="O15" s="408" t="str">
        <f>U10組合せ!H14</f>
        <v>カテット白沢</v>
      </c>
      <c r="P15" s="409"/>
      <c r="Q15" s="409"/>
      <c r="R15" s="410"/>
      <c r="S15" s="414" t="s">
        <v>37</v>
      </c>
      <c r="T15" s="415"/>
      <c r="U15" s="408"/>
      <c r="V15" s="409"/>
      <c r="W15" s="409"/>
      <c r="X15" s="410"/>
    </row>
    <row r="16" spans="1:29" x14ac:dyDescent="0.4">
      <c r="A16" s="91" t="str">
        <f>IF(Z14="AM","①",IF(Z14="PM","④",IF(Z14="AMF","①","")))</f>
        <v>①</v>
      </c>
      <c r="B16" s="92">
        <f>IF(Z14="AM",$AA$1,IF(Z14="PM",$AA$3,IF(Z14="AMF",$AA$5,"")))</f>
        <v>0.375</v>
      </c>
      <c r="C16" s="119">
        <v>5</v>
      </c>
      <c r="D16" s="120" t="s">
        <v>41</v>
      </c>
      <c r="E16" s="121">
        <v>6</v>
      </c>
      <c r="F16" s="71" t="s">
        <v>94</v>
      </c>
      <c r="G16" s="91" t="str">
        <f>IF(AA14="AM","①",IF(AA14="PM","④",IF(AA14="AMF","①","")))</f>
        <v>①</v>
      </c>
      <c r="H16" s="92">
        <f>IF(AA14="AM",$AA$1,IF(AA14="PM",$AA$3,IF(AA14="AMF",$AA$5,"")))</f>
        <v>0.375</v>
      </c>
      <c r="I16" s="72">
        <v>7</v>
      </c>
      <c r="J16" s="73" t="s">
        <v>41</v>
      </c>
      <c r="K16" s="74">
        <v>6</v>
      </c>
      <c r="L16" s="71" t="s">
        <v>126</v>
      </c>
      <c r="M16" s="91" t="s">
        <v>182</v>
      </c>
      <c r="N16" s="92">
        <f>IF(AB14="AM",$AA$1,IF(AB14="PM",$AA$3,IF(AB14="AMF",$AA$5,"")))</f>
        <v>0.5625</v>
      </c>
      <c r="O16" s="72">
        <v>5</v>
      </c>
      <c r="P16" s="73" t="s">
        <v>41</v>
      </c>
      <c r="Q16" s="74">
        <v>6</v>
      </c>
      <c r="R16" s="71" t="s">
        <v>125</v>
      </c>
      <c r="S16" s="91" t="str">
        <f>IF(AC14="AM","①",IF(AC14="PM","④",IF(AC14="AMF","①","")))</f>
        <v>①</v>
      </c>
      <c r="T16" s="92">
        <f>IF(AC14="AM",$AA$1,IF(AC14="PM",$AA$3,IF(AC14="AMF",$AA$5,"")))</f>
        <v>0.375</v>
      </c>
      <c r="U16" s="72"/>
      <c r="V16" s="73"/>
      <c r="W16" s="74"/>
      <c r="X16" s="71"/>
      <c r="Z16" t="s">
        <v>227</v>
      </c>
      <c r="AA16" t="s">
        <v>231</v>
      </c>
    </row>
    <row r="17" spans="1:29" x14ac:dyDescent="0.4">
      <c r="A17" s="63" t="s">
        <v>60</v>
      </c>
      <c r="B17" s="68">
        <f>B16+0.0278</f>
        <v>0.40279999999999999</v>
      </c>
      <c r="C17" s="122">
        <v>7</v>
      </c>
      <c r="D17" s="123"/>
      <c r="E17" s="124">
        <v>8</v>
      </c>
      <c r="F17" s="71" t="s">
        <v>95</v>
      </c>
      <c r="G17" s="79" t="s">
        <v>60</v>
      </c>
      <c r="H17" s="97">
        <f>H16+0.035</f>
        <v>0.41000000000000003</v>
      </c>
      <c r="I17" s="80">
        <v>5</v>
      </c>
      <c r="J17" s="64" t="s">
        <v>41</v>
      </c>
      <c r="K17" s="81">
        <v>6</v>
      </c>
      <c r="L17" s="71" t="s">
        <v>125</v>
      </c>
      <c r="M17" s="79" t="s">
        <v>183</v>
      </c>
      <c r="N17" s="97">
        <f>N16+0.035</f>
        <v>0.59750000000000003</v>
      </c>
      <c r="O17" s="80">
        <v>7</v>
      </c>
      <c r="P17" s="64" t="s">
        <v>41</v>
      </c>
      <c r="Q17" s="81">
        <v>6</v>
      </c>
      <c r="R17" s="71" t="s">
        <v>126</v>
      </c>
      <c r="S17" s="79" t="s">
        <v>60</v>
      </c>
      <c r="T17" s="97">
        <f>T16+0.035</f>
        <v>0.41000000000000003</v>
      </c>
      <c r="U17" s="80"/>
      <c r="V17" s="70"/>
      <c r="W17" s="81"/>
      <c r="X17" s="71"/>
      <c r="Z17" t="s">
        <v>228</v>
      </c>
      <c r="AA17" t="s">
        <v>232</v>
      </c>
    </row>
    <row r="18" spans="1:29" x14ac:dyDescent="0.4">
      <c r="A18" s="63" t="s">
        <v>62</v>
      </c>
      <c r="B18" s="68">
        <f>B17+0.035</f>
        <v>0.43779999999999997</v>
      </c>
      <c r="C18" s="125">
        <v>7</v>
      </c>
      <c r="D18" s="126" t="s">
        <v>41</v>
      </c>
      <c r="E18" s="127">
        <v>5</v>
      </c>
      <c r="F18" s="65" t="s">
        <v>177</v>
      </c>
      <c r="G18" s="79" t="s">
        <v>62</v>
      </c>
      <c r="H18" s="68">
        <f>H17+0.035</f>
        <v>0.44500000000000006</v>
      </c>
      <c r="I18" s="75">
        <v>5</v>
      </c>
      <c r="J18" s="64" t="s">
        <v>41</v>
      </c>
      <c r="K18" s="76">
        <v>7</v>
      </c>
      <c r="L18" s="65" t="s">
        <v>127</v>
      </c>
      <c r="M18" s="79" t="s">
        <v>184</v>
      </c>
      <c r="N18" s="68">
        <f>N17+0.035</f>
        <v>0.63250000000000006</v>
      </c>
      <c r="O18" s="75">
        <v>7</v>
      </c>
      <c r="P18" s="64" t="s">
        <v>41</v>
      </c>
      <c r="Q18" s="76">
        <v>5</v>
      </c>
      <c r="R18" s="65" t="s">
        <v>127</v>
      </c>
      <c r="S18" s="79" t="s">
        <v>62</v>
      </c>
      <c r="T18" s="68">
        <f>T17+0.035</f>
        <v>0.44500000000000006</v>
      </c>
      <c r="U18" s="75"/>
      <c r="V18" s="64"/>
      <c r="W18" s="76"/>
      <c r="X18" s="65"/>
      <c r="Z18" t="s">
        <v>229</v>
      </c>
      <c r="AA18" t="s">
        <v>233</v>
      </c>
    </row>
    <row r="19" spans="1:29" x14ac:dyDescent="0.4">
      <c r="A19" s="66" t="s">
        <v>64</v>
      </c>
      <c r="B19" s="69">
        <f>B18+0.0278</f>
        <v>0.46559999999999996</v>
      </c>
      <c r="C19" s="128">
        <v>8</v>
      </c>
      <c r="D19" s="129" t="s">
        <v>41</v>
      </c>
      <c r="E19" s="130">
        <v>6</v>
      </c>
      <c r="F19" s="82" t="s">
        <v>96</v>
      </c>
      <c r="G19" s="93"/>
      <c r="H19" s="69"/>
      <c r="I19" s="77"/>
      <c r="J19" s="67"/>
      <c r="K19" s="78"/>
      <c r="L19" s="82"/>
      <c r="M19" s="93"/>
      <c r="N19" s="69"/>
      <c r="O19" s="77"/>
      <c r="P19" s="67"/>
      <c r="Q19" s="78"/>
      <c r="R19" s="82"/>
      <c r="S19" s="93"/>
      <c r="T19" s="69"/>
      <c r="U19" s="77"/>
      <c r="V19" s="67"/>
      <c r="W19" s="78"/>
      <c r="X19" s="82"/>
      <c r="Z19" t="s">
        <v>230</v>
      </c>
      <c r="AA19" t="s">
        <v>234</v>
      </c>
    </row>
    <row r="20" spans="1:29" ht="3.75" customHeight="1" x14ac:dyDescent="0.4">
      <c r="I20" s="43"/>
      <c r="J20" s="43"/>
      <c r="K20" s="43"/>
      <c r="O20" s="43"/>
      <c r="P20" s="43"/>
      <c r="Q20" s="43"/>
      <c r="U20" s="43"/>
      <c r="V20" s="43"/>
      <c r="W20" s="43"/>
    </row>
    <row r="21" spans="1:29" ht="12" customHeight="1" x14ac:dyDescent="0.4"/>
    <row r="22" spans="1:29" s="83" customFormat="1" ht="24" x14ac:dyDescent="0.4">
      <c r="A22" s="83" t="s">
        <v>52</v>
      </c>
      <c r="C22" s="84"/>
      <c r="D22" s="84"/>
      <c r="E22" s="84"/>
      <c r="F22" s="85">
        <f>U10組合せ!B25</f>
        <v>44310</v>
      </c>
      <c r="H22" s="85" t="str">
        <f>"("&amp;U10組合せ!C25&amp;")"</f>
        <v>(土)</v>
      </c>
    </row>
    <row r="23" spans="1:29" ht="2.25" customHeight="1" x14ac:dyDescent="0.4"/>
    <row r="24" spans="1:29" x14ac:dyDescent="0.4">
      <c r="A24" s="421" t="s">
        <v>35</v>
      </c>
      <c r="B24" s="422"/>
      <c r="C24" s="411" t="str">
        <f>U10組合せ!E26</f>
        <v>A1358</v>
      </c>
      <c r="D24" s="412"/>
      <c r="E24" s="412"/>
      <c r="F24" s="413"/>
      <c r="G24" s="421" t="s">
        <v>35</v>
      </c>
      <c r="H24" s="422"/>
      <c r="I24" s="411" t="str">
        <f>U10組合せ!G26</f>
        <v>B2456</v>
      </c>
      <c r="J24" s="412"/>
      <c r="K24" s="412"/>
      <c r="L24" s="413"/>
      <c r="M24" s="421" t="s">
        <v>53</v>
      </c>
      <c r="N24" s="422"/>
      <c r="O24" s="411" t="str">
        <f>U10組合せ!I26</f>
        <v>C2456</v>
      </c>
      <c r="P24" s="412"/>
      <c r="Q24" s="412"/>
      <c r="R24" s="413"/>
      <c r="S24" s="421" t="s">
        <v>53</v>
      </c>
      <c r="T24" s="422"/>
      <c r="U24" s="411"/>
      <c r="V24" s="412"/>
      <c r="W24" s="412"/>
      <c r="X24" s="413"/>
    </row>
    <row r="25" spans="1:29" x14ac:dyDescent="0.4">
      <c r="A25" s="414" t="s">
        <v>36</v>
      </c>
      <c r="B25" s="415"/>
      <c r="C25" s="416" t="str">
        <f>IF(U10組合せ!E25="","未定",U10組合せ!E25)</f>
        <v>豊郷南小</v>
      </c>
      <c r="D25" s="417"/>
      <c r="E25" s="417"/>
      <c r="F25" s="418"/>
      <c r="G25" s="414" t="s">
        <v>36</v>
      </c>
      <c r="H25" s="415"/>
      <c r="I25" s="416" t="str">
        <f>IF(U10組合せ!G25="","未定",U10組合せ!G25)</f>
        <v>姿川中央小</v>
      </c>
      <c r="J25" s="417"/>
      <c r="K25" s="417"/>
      <c r="L25" s="418"/>
      <c r="M25" s="414" t="s">
        <v>54</v>
      </c>
      <c r="N25" s="415"/>
      <c r="O25" s="416" t="str">
        <f>IF(U10組合せ!I25="","未定",U10組合せ!I25)</f>
        <v>陽南小</v>
      </c>
      <c r="P25" s="417"/>
      <c r="Q25" s="417"/>
      <c r="R25" s="418"/>
      <c r="S25" s="414" t="s">
        <v>54</v>
      </c>
      <c r="T25" s="415"/>
      <c r="U25" s="416"/>
      <c r="V25" s="417"/>
      <c r="W25" s="417"/>
      <c r="X25" s="418"/>
      <c r="Z25" s="107" t="str">
        <f>IF(COUNTIF(C25,"*AM*"),"AM",IF(COUNTIF(C25,"*PM*"),"PM","AMF"))</f>
        <v>AMF</v>
      </c>
      <c r="AA25" s="107" t="str">
        <f>IF(COUNTIF(I25,"*AM*"),"AM",IF(COUNTIF(I25,"*PM*"),"PM","AMF"))</f>
        <v>AMF</v>
      </c>
      <c r="AB25" s="107" t="str">
        <f>IF(COUNTIF(O25,"*AM*"),"AM",IF(COUNTIF(O25,"*PM*"),"PM","AMF"))</f>
        <v>AMF</v>
      </c>
      <c r="AC25" s="107" t="str">
        <f>IF(COUNTIF(U25,"*AM*"),"AM",IF(COUNTIF(U25,"*PM*"),"PM","AMF"))</f>
        <v>AMF</v>
      </c>
    </row>
    <row r="26" spans="1:29" x14ac:dyDescent="0.4">
      <c r="A26" s="419" t="s">
        <v>37</v>
      </c>
      <c r="B26" s="420"/>
      <c r="C26" s="408" t="str">
        <f>Ａブロック対戦表!T65</f>
        <v>FC グランディール</v>
      </c>
      <c r="D26" s="409"/>
      <c r="E26" s="409"/>
      <c r="F26" s="410"/>
      <c r="G26" s="419" t="s">
        <v>37</v>
      </c>
      <c r="H26" s="420"/>
      <c r="I26" s="408" t="str">
        <f>Bブロック対戦表!T65</f>
        <v>SUGAO・SC</v>
      </c>
      <c r="J26" s="409"/>
      <c r="K26" s="409"/>
      <c r="L26" s="410"/>
      <c r="M26" s="419" t="s">
        <v>37</v>
      </c>
      <c r="N26" s="420"/>
      <c r="O26" s="408" t="str">
        <f>Cブロック対戦表!T65</f>
        <v>緑ヶ丘YFC</v>
      </c>
      <c r="P26" s="409"/>
      <c r="Q26" s="409"/>
      <c r="R26" s="410"/>
      <c r="S26" s="419" t="s">
        <v>37</v>
      </c>
      <c r="T26" s="420"/>
      <c r="U26" s="408"/>
      <c r="V26" s="409"/>
      <c r="W26" s="409"/>
      <c r="X26" s="410"/>
    </row>
    <row r="27" spans="1:29" x14ac:dyDescent="0.4">
      <c r="A27" s="91" t="str">
        <f>IF(Z25="AM","①",IF(Z25="PM","④",IF(Z25="AMF","①","")))</f>
        <v>①</v>
      </c>
      <c r="B27" s="92">
        <f>IF(Z25="AM",$AA$1,IF(Z25="PM",$AA$3,IF(Z25="AMF",$AA$5,"")))</f>
        <v>0.375</v>
      </c>
      <c r="C27" s="80">
        <v>1</v>
      </c>
      <c r="D27" s="70" t="s">
        <v>41</v>
      </c>
      <c r="E27" s="81">
        <v>3</v>
      </c>
      <c r="F27" s="71" t="s">
        <v>97</v>
      </c>
      <c r="G27" s="91" t="str">
        <f>IF(AA25="AM","①",IF(AA25="PM","④",IF(AA25="AMF","①","")))</f>
        <v>①</v>
      </c>
      <c r="H27" s="92">
        <f>IF(AA25="AM",$AA$1,IF(AA25="PM",$AA$3,IF(AA25="AMF",$AA$5,"")))</f>
        <v>0.375</v>
      </c>
      <c r="I27" s="80">
        <v>2</v>
      </c>
      <c r="J27" s="70" t="s">
        <v>41</v>
      </c>
      <c r="K27" s="81">
        <v>6</v>
      </c>
      <c r="L27" s="71" t="s">
        <v>128</v>
      </c>
      <c r="M27" s="91" t="str">
        <f>IF(AB25="AM","①",IF(AB25="PM","④",IF(AB25="AMF","①","")))</f>
        <v>①</v>
      </c>
      <c r="N27" s="92">
        <f>IF(AB25="AM",$AA$1,IF(AB25="PM",$AA$3,IF(AB25="AMF",$AA$5,"")))</f>
        <v>0.375</v>
      </c>
      <c r="O27" s="80">
        <v>2</v>
      </c>
      <c r="P27" s="70" t="s">
        <v>41</v>
      </c>
      <c r="Q27" s="81">
        <v>6</v>
      </c>
      <c r="R27" s="71" t="s">
        <v>128</v>
      </c>
      <c r="S27" s="91" t="str">
        <f>IF(AC25="AM","①",IF(AC25="PM","④",IF(AC25="AMF","①","")))</f>
        <v>①</v>
      </c>
      <c r="T27" s="92">
        <f>IF(AC25="AM",$AA$1,IF(AC25="PM",$AA$3,IF(AC25="AMF",$AA$5,"")))</f>
        <v>0.375</v>
      </c>
      <c r="U27" s="80"/>
      <c r="V27" s="70"/>
      <c r="W27" s="81"/>
      <c r="X27" s="71"/>
      <c r="Z27" t="s">
        <v>227</v>
      </c>
      <c r="AA27" t="s">
        <v>231</v>
      </c>
    </row>
    <row r="28" spans="1:29" x14ac:dyDescent="0.4">
      <c r="A28" s="79" t="s">
        <v>60</v>
      </c>
      <c r="B28" s="97">
        <f>B27+0.0278</f>
        <v>0.40279999999999999</v>
      </c>
      <c r="C28" s="80">
        <v>5</v>
      </c>
      <c r="D28" s="64" t="s">
        <v>41</v>
      </c>
      <c r="E28" s="81">
        <v>8</v>
      </c>
      <c r="F28" s="71" t="s">
        <v>194</v>
      </c>
      <c r="G28" s="79" t="s">
        <v>60</v>
      </c>
      <c r="H28" s="97">
        <f>H27+0.0278</f>
        <v>0.40279999999999999</v>
      </c>
      <c r="I28" s="80">
        <v>4</v>
      </c>
      <c r="J28" s="64" t="s">
        <v>41</v>
      </c>
      <c r="K28" s="81">
        <v>5</v>
      </c>
      <c r="L28" s="71" t="s">
        <v>129</v>
      </c>
      <c r="M28" s="79" t="s">
        <v>60</v>
      </c>
      <c r="N28" s="97">
        <f>N27+0.0278</f>
        <v>0.40279999999999999</v>
      </c>
      <c r="O28" s="80">
        <v>4</v>
      </c>
      <c r="P28" s="64" t="s">
        <v>41</v>
      </c>
      <c r="Q28" s="81">
        <v>5</v>
      </c>
      <c r="R28" s="71" t="s">
        <v>129</v>
      </c>
      <c r="S28" s="79" t="s">
        <v>60</v>
      </c>
      <c r="T28" s="97">
        <f>T27+0.0278</f>
        <v>0.40279999999999999</v>
      </c>
      <c r="U28" s="80"/>
      <c r="V28" s="70"/>
      <c r="W28" s="81"/>
      <c r="X28" s="71"/>
      <c r="Z28" t="s">
        <v>228</v>
      </c>
      <c r="AA28" t="s">
        <v>232</v>
      </c>
    </row>
    <row r="29" spans="1:29" x14ac:dyDescent="0.4">
      <c r="A29" s="63" t="s">
        <v>62</v>
      </c>
      <c r="B29" s="68">
        <f>B28+0.035</f>
        <v>0.43779999999999997</v>
      </c>
      <c r="C29" s="75">
        <v>5</v>
      </c>
      <c r="D29" s="64" t="s">
        <v>41</v>
      </c>
      <c r="E29" s="76">
        <v>1</v>
      </c>
      <c r="F29" s="65" t="s">
        <v>98</v>
      </c>
      <c r="G29" s="79" t="s">
        <v>62</v>
      </c>
      <c r="H29" s="68">
        <f>H28+0.035</f>
        <v>0.43779999999999997</v>
      </c>
      <c r="I29" s="75">
        <v>2</v>
      </c>
      <c r="J29" s="64" t="s">
        <v>41</v>
      </c>
      <c r="K29" s="76">
        <v>5</v>
      </c>
      <c r="L29" s="65" t="s">
        <v>130</v>
      </c>
      <c r="M29" s="79" t="s">
        <v>62</v>
      </c>
      <c r="N29" s="68">
        <f>N28+0.035</f>
        <v>0.43779999999999997</v>
      </c>
      <c r="O29" s="75">
        <v>2</v>
      </c>
      <c r="P29" s="64" t="s">
        <v>41</v>
      </c>
      <c r="Q29" s="76">
        <v>5</v>
      </c>
      <c r="R29" s="65" t="s">
        <v>130</v>
      </c>
      <c r="S29" s="79" t="s">
        <v>62</v>
      </c>
      <c r="T29" s="68">
        <f>T28+0.035</f>
        <v>0.43779999999999997</v>
      </c>
      <c r="U29" s="75"/>
      <c r="V29" s="64"/>
      <c r="W29" s="76"/>
      <c r="X29" s="65"/>
      <c r="Z29" t="s">
        <v>229</v>
      </c>
      <c r="AA29" t="s">
        <v>233</v>
      </c>
    </row>
    <row r="30" spans="1:29" x14ac:dyDescent="0.4">
      <c r="A30" s="66" t="s">
        <v>64</v>
      </c>
      <c r="B30" s="69">
        <f>B29+0.0278</f>
        <v>0.46559999999999996</v>
      </c>
      <c r="C30" s="77">
        <v>3</v>
      </c>
      <c r="D30" s="67" t="s">
        <v>41</v>
      </c>
      <c r="E30" s="78">
        <v>8</v>
      </c>
      <c r="F30" s="82" t="s">
        <v>99</v>
      </c>
      <c r="G30" s="93" t="s">
        <v>64</v>
      </c>
      <c r="H30" s="69">
        <f>H29+0.0278</f>
        <v>0.46559999999999996</v>
      </c>
      <c r="I30" s="77">
        <v>4</v>
      </c>
      <c r="J30" s="67" t="s">
        <v>41</v>
      </c>
      <c r="K30" s="78">
        <v>6</v>
      </c>
      <c r="L30" s="82" t="s">
        <v>131</v>
      </c>
      <c r="M30" s="93" t="s">
        <v>64</v>
      </c>
      <c r="N30" s="69">
        <f>N29+0.0278</f>
        <v>0.46559999999999996</v>
      </c>
      <c r="O30" s="77">
        <v>4</v>
      </c>
      <c r="P30" s="67" t="s">
        <v>41</v>
      </c>
      <c r="Q30" s="78">
        <v>6</v>
      </c>
      <c r="R30" s="82" t="s">
        <v>131</v>
      </c>
      <c r="S30" s="93" t="s">
        <v>64</v>
      </c>
      <c r="T30" s="69">
        <f>T29+0.0278</f>
        <v>0.46559999999999996</v>
      </c>
      <c r="U30" s="77"/>
      <c r="V30" s="67"/>
      <c r="W30" s="78"/>
      <c r="X30" s="82"/>
      <c r="Z30" t="s">
        <v>230</v>
      </c>
      <c r="AA30" t="s">
        <v>234</v>
      </c>
    </row>
    <row r="31" spans="1:29" ht="3.75" customHeight="1" x14ac:dyDescent="0.4">
      <c r="A31" s="87"/>
      <c r="B31" s="88"/>
      <c r="C31" s="89"/>
      <c r="D31" s="89"/>
      <c r="E31" s="89"/>
      <c r="F31" s="88"/>
      <c r="G31" s="88"/>
      <c r="H31" s="88"/>
      <c r="I31" s="89"/>
      <c r="J31" s="89"/>
      <c r="K31" s="89"/>
      <c r="L31" s="88"/>
      <c r="M31" s="88"/>
      <c r="N31" s="88"/>
      <c r="O31" s="89"/>
      <c r="P31" s="89"/>
      <c r="Q31" s="89"/>
      <c r="R31" s="88"/>
      <c r="S31" s="88"/>
      <c r="T31" s="88"/>
      <c r="U31" s="89"/>
      <c r="V31" s="89"/>
      <c r="W31" s="89"/>
      <c r="X31" s="90"/>
    </row>
    <row r="32" spans="1:29" x14ac:dyDescent="0.4">
      <c r="A32" s="421" t="s">
        <v>35</v>
      </c>
      <c r="B32" s="422"/>
      <c r="C32" s="411" t="str">
        <f>U10組合せ!E28</f>
        <v>A2467</v>
      </c>
      <c r="D32" s="412"/>
      <c r="E32" s="412"/>
      <c r="F32" s="413"/>
      <c r="G32" s="421" t="s">
        <v>53</v>
      </c>
      <c r="H32" s="422"/>
      <c r="I32" s="411" t="str">
        <f>U10組合せ!G28</f>
        <v>B137</v>
      </c>
      <c r="J32" s="412"/>
      <c r="K32" s="412"/>
      <c r="L32" s="413"/>
      <c r="M32" s="421" t="s">
        <v>53</v>
      </c>
      <c r="N32" s="422"/>
      <c r="O32" s="411" t="str">
        <f>U10組合せ!I28</f>
        <v>C137</v>
      </c>
      <c r="P32" s="412"/>
      <c r="Q32" s="412"/>
      <c r="R32" s="413"/>
      <c r="S32" s="421" t="s">
        <v>53</v>
      </c>
      <c r="T32" s="422"/>
      <c r="U32" s="411"/>
      <c r="V32" s="412"/>
      <c r="W32" s="412"/>
      <c r="X32" s="413"/>
    </row>
    <row r="33" spans="1:29" x14ac:dyDescent="0.4">
      <c r="A33" s="414" t="s">
        <v>36</v>
      </c>
      <c r="B33" s="415"/>
      <c r="C33" s="416" t="str">
        <f>IF(U10組合せ!E27="","未定",U10組合せ!E27)</f>
        <v>上河内西小</v>
      </c>
      <c r="D33" s="417"/>
      <c r="E33" s="417"/>
      <c r="F33" s="418"/>
      <c r="G33" s="414" t="s">
        <v>36</v>
      </c>
      <c r="H33" s="415"/>
      <c r="I33" s="416" t="str">
        <f>IF(U10組合せ!G27="","未定",U10組合せ!G27)</f>
        <v>GP白沢 北 AM</v>
      </c>
      <c r="J33" s="417"/>
      <c r="K33" s="417"/>
      <c r="L33" s="418"/>
      <c r="M33" s="414" t="s">
        <v>54</v>
      </c>
      <c r="N33" s="415"/>
      <c r="O33" s="416" t="str">
        <f>IF(U10組合せ!I27="","未定",U10組合せ!I27)</f>
        <v>GP白沢 南 AM</v>
      </c>
      <c r="P33" s="417"/>
      <c r="Q33" s="417"/>
      <c r="R33" s="418"/>
      <c r="S33" s="414" t="s">
        <v>54</v>
      </c>
      <c r="T33" s="415"/>
      <c r="U33" s="416"/>
      <c r="V33" s="417"/>
      <c r="W33" s="417"/>
      <c r="X33" s="418"/>
      <c r="Z33" s="107" t="str">
        <f>IF(COUNTIF(C33,"*AM*"),"AM",IF(COUNTIF(C33,"*PM*"),"PM","AMF"))</f>
        <v>AMF</v>
      </c>
      <c r="AA33" s="107" t="str">
        <f>IF(COUNTIF(I33,"*AM*"),"AM",IF(COUNTIF(I33,"*PM*"),"PM","AMF"))</f>
        <v>AM</v>
      </c>
      <c r="AB33" s="107" t="str">
        <f>IF(COUNTIF(O33,"*AM*"),"AM",IF(COUNTIF(O33,"*PM*"),"PM","AMF"))</f>
        <v>AM</v>
      </c>
      <c r="AC33" s="107" t="str">
        <f>IF(COUNTIF(U33,"*AM*"),"AM",IF(COUNTIF(U33,"*PM*"),"PM","AMF"))</f>
        <v>AMF</v>
      </c>
    </row>
    <row r="34" spans="1:29" x14ac:dyDescent="0.4">
      <c r="A34" s="414" t="s">
        <v>37</v>
      </c>
      <c r="B34" s="415"/>
      <c r="C34" s="408" t="str">
        <f>Ａブロック対戦表!T96</f>
        <v>上河内JSC</v>
      </c>
      <c r="D34" s="409"/>
      <c r="E34" s="409"/>
      <c r="F34" s="410"/>
      <c r="G34" s="414" t="s">
        <v>37</v>
      </c>
      <c r="H34" s="415"/>
      <c r="I34" s="408" t="str">
        <f>Bブロック対戦表!T97</f>
        <v>FCアリーバ</v>
      </c>
      <c r="J34" s="409"/>
      <c r="K34" s="409"/>
      <c r="L34" s="410"/>
      <c r="M34" s="414" t="s">
        <v>37</v>
      </c>
      <c r="N34" s="415"/>
      <c r="O34" s="408" t="str">
        <f>Cブロック対戦表!T97</f>
        <v>FC　Riso</v>
      </c>
      <c r="P34" s="409"/>
      <c r="Q34" s="409"/>
      <c r="R34" s="410"/>
      <c r="S34" s="414" t="s">
        <v>37</v>
      </c>
      <c r="T34" s="415"/>
      <c r="U34" s="408"/>
      <c r="V34" s="409"/>
      <c r="W34" s="409"/>
      <c r="X34" s="410"/>
      <c r="Z34" s="86"/>
    </row>
    <row r="35" spans="1:29" x14ac:dyDescent="0.4">
      <c r="A35" s="91" t="str">
        <f>IF(Z33="AM","①",IF(Z33="PM","④",IF(Z33="AMF","①","")))</f>
        <v>①</v>
      </c>
      <c r="B35" s="92">
        <f>IF(Z33="AM",$AA$1,IF(Z33="PM",$AA$3,IF(Z33="AMF",$AA$5,"")))</f>
        <v>0.375</v>
      </c>
      <c r="C35" s="72">
        <v>2</v>
      </c>
      <c r="D35" s="73" t="s">
        <v>41</v>
      </c>
      <c r="E35" s="74">
        <v>4</v>
      </c>
      <c r="F35" s="71" t="s">
        <v>100</v>
      </c>
      <c r="G35" s="91" t="str">
        <f>IF(AA33="AM","①",IF(AA33="PM","④",IF(AA33="AMF","①","")))</f>
        <v>①</v>
      </c>
      <c r="H35" s="92">
        <f>IF(AA33="AM",$AA$1,IF(AA33="PM",$AA$3,IF(AA33="AMF",$AA$5,"")))</f>
        <v>0.375</v>
      </c>
      <c r="I35" s="72">
        <v>1</v>
      </c>
      <c r="J35" s="73" t="s">
        <v>41</v>
      </c>
      <c r="K35" s="74">
        <v>3</v>
      </c>
      <c r="L35" s="71" t="s">
        <v>132</v>
      </c>
      <c r="M35" s="91" t="str">
        <f>IF(AB$33="AM",Z35,IF(AB$43="PM",AA35,IF(AB$43="AMF",Z35,"")))</f>
        <v>①</v>
      </c>
      <c r="N35" s="92">
        <f>IF(AB33="AM",$AA$1,IF(AB33="PM",$AA$3,IF(AB33="AMF",$AA$5,"")))</f>
        <v>0.375</v>
      </c>
      <c r="O35" s="72">
        <v>1</v>
      </c>
      <c r="P35" s="73" t="s">
        <v>41</v>
      </c>
      <c r="Q35" s="74">
        <v>3</v>
      </c>
      <c r="R35" s="71" t="s">
        <v>132</v>
      </c>
      <c r="S35" s="91" t="str">
        <f>IF(AC33="AM","①",IF(AC33="PM","④",IF(AC33="AMF","①","")))</f>
        <v>①</v>
      </c>
      <c r="T35" s="92">
        <f>IF(AC33="AM",$AA$1,IF(AC33="PM",$AA$3,IF(AC33="AMF",$AA$5,"")))</f>
        <v>0.375</v>
      </c>
      <c r="U35" s="72"/>
      <c r="V35" s="73"/>
      <c r="W35" s="74"/>
      <c r="X35" s="71"/>
      <c r="Z35" t="s">
        <v>227</v>
      </c>
      <c r="AA35" t="s">
        <v>231</v>
      </c>
    </row>
    <row r="36" spans="1:29" x14ac:dyDescent="0.4">
      <c r="A36" s="79" t="s">
        <v>60</v>
      </c>
      <c r="B36" s="97">
        <f>B35+0.0278</f>
        <v>0.40279999999999999</v>
      </c>
      <c r="C36" s="80">
        <v>6</v>
      </c>
      <c r="D36" s="70"/>
      <c r="E36" s="81">
        <v>7</v>
      </c>
      <c r="F36" s="71" t="s">
        <v>101</v>
      </c>
      <c r="G36" s="79" t="s">
        <v>60</v>
      </c>
      <c r="H36" s="97">
        <f>H35+0.035</f>
        <v>0.41000000000000003</v>
      </c>
      <c r="I36" s="80">
        <v>3</v>
      </c>
      <c r="J36" s="64" t="s">
        <v>41</v>
      </c>
      <c r="K36" s="81">
        <v>7</v>
      </c>
      <c r="L36" s="71" t="s">
        <v>133</v>
      </c>
      <c r="M36" s="79" t="str">
        <f>IF(AB$33="AM",Z36,IF(AB$43="PM",AA36,IF(AB$43="AMF",Z36,"")))</f>
        <v>②</v>
      </c>
      <c r="N36" s="97">
        <f>N35+0.035</f>
        <v>0.41000000000000003</v>
      </c>
      <c r="O36" s="80">
        <v>3</v>
      </c>
      <c r="P36" s="64" t="s">
        <v>41</v>
      </c>
      <c r="Q36" s="81">
        <v>7</v>
      </c>
      <c r="R36" s="71" t="s">
        <v>133</v>
      </c>
      <c r="S36" s="79" t="s">
        <v>60</v>
      </c>
      <c r="T36" s="97">
        <f>T35+0.035</f>
        <v>0.41000000000000003</v>
      </c>
      <c r="U36" s="80"/>
      <c r="V36" s="70"/>
      <c r="W36" s="81"/>
      <c r="X36" s="71"/>
      <c r="Z36" t="s">
        <v>228</v>
      </c>
      <c r="AA36" t="s">
        <v>232</v>
      </c>
    </row>
    <row r="37" spans="1:29" x14ac:dyDescent="0.4">
      <c r="A37" s="63" t="s">
        <v>62</v>
      </c>
      <c r="B37" s="68">
        <f>B36+0.035</f>
        <v>0.43779999999999997</v>
      </c>
      <c r="C37" s="75">
        <v>6</v>
      </c>
      <c r="D37" s="64" t="s">
        <v>41</v>
      </c>
      <c r="E37" s="76">
        <v>2</v>
      </c>
      <c r="F37" s="65" t="s">
        <v>102</v>
      </c>
      <c r="G37" s="79" t="s">
        <v>62</v>
      </c>
      <c r="H37" s="68">
        <f>H36+0.035</f>
        <v>0.44500000000000006</v>
      </c>
      <c r="I37" s="75">
        <v>1</v>
      </c>
      <c r="J37" s="64" t="s">
        <v>41</v>
      </c>
      <c r="K37" s="76">
        <v>7</v>
      </c>
      <c r="L37" s="65" t="s">
        <v>134</v>
      </c>
      <c r="M37" s="79" t="str">
        <f>IF(AB$33="AM",Z37,IF(AB$43="PM",AA37,IF(AB$43="AMF",Z37,"")))</f>
        <v>③</v>
      </c>
      <c r="N37" s="68">
        <f>N36+0.035</f>
        <v>0.44500000000000006</v>
      </c>
      <c r="O37" s="75">
        <v>1</v>
      </c>
      <c r="P37" s="64" t="s">
        <v>41</v>
      </c>
      <c r="Q37" s="76">
        <v>7</v>
      </c>
      <c r="R37" s="65" t="s">
        <v>134</v>
      </c>
      <c r="S37" s="79" t="s">
        <v>62</v>
      </c>
      <c r="T37" s="68">
        <f>T36+0.035</f>
        <v>0.44500000000000006</v>
      </c>
      <c r="U37" s="75"/>
      <c r="V37" s="64"/>
      <c r="W37" s="76"/>
      <c r="X37" s="65"/>
      <c r="Z37" t="s">
        <v>229</v>
      </c>
      <c r="AA37" t="s">
        <v>233</v>
      </c>
    </row>
    <row r="38" spans="1:29" ht="18.75" customHeight="1" x14ac:dyDescent="0.4">
      <c r="A38" s="66" t="s">
        <v>64</v>
      </c>
      <c r="B38" s="69">
        <f>B37+0.0278</f>
        <v>0.46559999999999996</v>
      </c>
      <c r="C38" s="77">
        <v>4</v>
      </c>
      <c r="D38" s="67" t="s">
        <v>41</v>
      </c>
      <c r="E38" s="78">
        <v>7</v>
      </c>
      <c r="F38" s="82" t="s">
        <v>103</v>
      </c>
      <c r="G38" s="93" t="s">
        <v>64</v>
      </c>
      <c r="H38" s="69">
        <f>H37+0.0278</f>
        <v>0.47280000000000005</v>
      </c>
      <c r="I38" s="77"/>
      <c r="J38" s="67"/>
      <c r="K38" s="78"/>
      <c r="L38" s="82"/>
      <c r="M38" s="93" t="str">
        <f>IF(AB$33="AM",Z38,IF(AB$43="PM",AA38,IF(AB$43="AMF",Z38,"")))</f>
        <v>④</v>
      </c>
      <c r="N38" s="69">
        <f>N37+0.0278</f>
        <v>0.47280000000000005</v>
      </c>
      <c r="O38" s="77"/>
      <c r="P38" s="67"/>
      <c r="Q38" s="78"/>
      <c r="R38" s="82"/>
      <c r="S38" s="93" t="s">
        <v>64</v>
      </c>
      <c r="T38" s="69">
        <f>T37+0.0278</f>
        <v>0.47280000000000005</v>
      </c>
      <c r="U38" s="77"/>
      <c r="V38" s="67"/>
      <c r="W38" s="78"/>
      <c r="X38" s="82"/>
      <c r="Z38" t="s">
        <v>230</v>
      </c>
      <c r="AA38" t="s">
        <v>234</v>
      </c>
    </row>
    <row r="39" spans="1:29" ht="15" customHeight="1" x14ac:dyDescent="0.4"/>
    <row r="40" spans="1:29" ht="24" x14ac:dyDescent="0.4">
      <c r="A40" s="83" t="s">
        <v>55</v>
      </c>
      <c r="B40" s="83"/>
      <c r="C40" s="84"/>
      <c r="D40" s="84"/>
      <c r="E40" s="84"/>
      <c r="F40" s="85">
        <f>U10組合せ!B31</f>
        <v>44325</v>
      </c>
      <c r="G40" s="83"/>
      <c r="H40" s="85" t="str">
        <f>"("&amp;U10組合せ!C31&amp;")"</f>
        <v>(日)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ht="3.75" customHeight="1" x14ac:dyDescent="0.4"/>
    <row r="42" spans="1:29" s="106" customFormat="1" x14ac:dyDescent="0.4">
      <c r="A42" s="428" t="s">
        <v>35</v>
      </c>
      <c r="B42" s="429"/>
      <c r="C42" s="430" t="str">
        <f>U10組合せ!E32</f>
        <v>A1278</v>
      </c>
      <c r="D42" s="431"/>
      <c r="E42" s="431"/>
      <c r="F42" s="432"/>
      <c r="G42" s="428" t="s">
        <v>35</v>
      </c>
      <c r="H42" s="429"/>
      <c r="I42" s="430" t="str">
        <f>U10組合せ!G32</f>
        <v>B1356</v>
      </c>
      <c r="J42" s="431"/>
      <c r="K42" s="431"/>
      <c r="L42" s="432"/>
      <c r="M42" s="428" t="s">
        <v>53</v>
      </c>
      <c r="N42" s="429"/>
      <c r="O42" s="430" t="str">
        <f>U10組合せ!I32</f>
        <v>C1356</v>
      </c>
      <c r="P42" s="431"/>
      <c r="Q42" s="431"/>
      <c r="R42" s="432"/>
      <c r="S42" s="428" t="s">
        <v>53</v>
      </c>
      <c r="T42" s="429"/>
      <c r="U42" s="430"/>
      <c r="V42" s="431"/>
      <c r="W42" s="431"/>
      <c r="X42" s="432"/>
    </row>
    <row r="43" spans="1:29" s="106" customFormat="1" x14ac:dyDescent="0.4">
      <c r="A43" s="426" t="s">
        <v>36</v>
      </c>
      <c r="B43" s="427"/>
      <c r="C43" s="423" t="str">
        <f>IF(U10組合せ!E31="","未定",U10組合せ!E31)</f>
        <v>豊郷南小</v>
      </c>
      <c r="D43" s="424"/>
      <c r="E43" s="424"/>
      <c r="F43" s="425"/>
      <c r="G43" s="426" t="s">
        <v>36</v>
      </c>
      <c r="H43" s="427"/>
      <c r="I43" s="423" t="str">
        <f>IF(U10組合せ!G31="","未定",U10組合せ!G31)</f>
        <v>姿川中央小</v>
      </c>
      <c r="J43" s="424"/>
      <c r="K43" s="424"/>
      <c r="L43" s="425"/>
      <c r="M43" s="426" t="s">
        <v>54</v>
      </c>
      <c r="N43" s="427"/>
      <c r="O43" s="423" t="str">
        <f>IF(U10組合せ!I31="","未定",U10組合せ!I31)</f>
        <v>石井 3 PM</v>
      </c>
      <c r="P43" s="424"/>
      <c r="Q43" s="424"/>
      <c r="R43" s="425"/>
      <c r="S43" s="426" t="s">
        <v>54</v>
      </c>
      <c r="T43" s="427"/>
      <c r="U43" s="423"/>
      <c r="V43" s="424"/>
      <c r="W43" s="424"/>
      <c r="X43" s="425"/>
      <c r="Z43" s="275" t="str">
        <f>IF(COUNTIF(C43,"*AM*"),"AM",IF(COUNTIF(C43,"*PM*"),"PM","AMF"))</f>
        <v>AMF</v>
      </c>
      <c r="AA43" s="275" t="str">
        <f>IF(COUNTIF(I43,"*AM*"),"AM",IF(COUNTIF(I43,"*PM*"),"PM","AMF"))</f>
        <v>AMF</v>
      </c>
      <c r="AB43" s="275" t="str">
        <f>IF(COUNTIF(O43,"*AM*"),"AM",IF(COUNTIF(O43,"*PM*"),"PM","AMF"))</f>
        <v>PM</v>
      </c>
      <c r="AC43" s="275" t="str">
        <f>IF(COUNTIF(U43,"*AM*"),"AM",IF(COUNTIF(U43,"*PM*"),"PM","AMF"))</f>
        <v>AMF</v>
      </c>
    </row>
    <row r="44" spans="1:29" s="106" customFormat="1" x14ac:dyDescent="0.4">
      <c r="A44" s="433" t="s">
        <v>37</v>
      </c>
      <c r="B44" s="434"/>
      <c r="C44" s="435" t="str">
        <f>Ａブロック対戦表!T127</f>
        <v>FC グランディール</v>
      </c>
      <c r="D44" s="436"/>
      <c r="E44" s="436"/>
      <c r="F44" s="437"/>
      <c r="G44" s="433" t="s">
        <v>37</v>
      </c>
      <c r="H44" s="434"/>
      <c r="I44" s="435" t="str">
        <f>Bブロック対戦表!T129</f>
        <v>SUGAO・SC</v>
      </c>
      <c r="J44" s="436"/>
      <c r="K44" s="436"/>
      <c r="L44" s="437"/>
      <c r="M44" s="433" t="s">
        <v>37</v>
      </c>
      <c r="N44" s="434"/>
      <c r="O44" s="435" t="str">
        <f ca="1">Cブロック対戦表!T129</f>
        <v>FC みらい</v>
      </c>
      <c r="P44" s="436"/>
      <c r="Q44" s="436"/>
      <c r="R44" s="437"/>
      <c r="S44" s="433" t="s">
        <v>37</v>
      </c>
      <c r="T44" s="434"/>
      <c r="U44" s="435"/>
      <c r="V44" s="436"/>
      <c r="W44" s="436"/>
      <c r="X44" s="437"/>
    </row>
    <row r="45" spans="1:29" s="106" customFormat="1" x14ac:dyDescent="0.4">
      <c r="A45" s="245" t="str">
        <f>IF(Z43="AM","①",IF(Z43="PM","④",IF(Z43="AMF","①","")))</f>
        <v>①</v>
      </c>
      <c r="B45" s="276">
        <f>IF(Z43="AM",$AA$1,IF(Z43="PM",$AA$3,IF(Z43="AMF",$AA$5,"")))</f>
        <v>0.375</v>
      </c>
      <c r="C45" s="277">
        <v>1</v>
      </c>
      <c r="D45" s="278" t="s">
        <v>41</v>
      </c>
      <c r="E45" s="279">
        <v>7</v>
      </c>
      <c r="F45" s="280" t="s">
        <v>104</v>
      </c>
      <c r="G45" s="245" t="str">
        <f>IF(AA43="AM","①",IF(AA43="PM","④",IF(AA43="AMF","①","")))</f>
        <v>①</v>
      </c>
      <c r="H45" s="276">
        <f>IF(AA43="AM",$AA$1,IF(AA43="PM",$AA$3,IF(AA43="AMF",$AA$5,"")))</f>
        <v>0.375</v>
      </c>
      <c r="I45" s="277">
        <v>1</v>
      </c>
      <c r="J45" s="278" t="s">
        <v>41</v>
      </c>
      <c r="K45" s="279">
        <v>5</v>
      </c>
      <c r="L45" s="280" t="s">
        <v>135</v>
      </c>
      <c r="M45" s="245" t="str">
        <f>IF(AB$43="AM",Z45,IF(AB$43="PM",AA45,IF(AB$43="AMF",Z45,"")))</f>
        <v>⑤</v>
      </c>
      <c r="N45" s="276">
        <f>IF(AB43="AM",$AA$1,IF(AB43="PM",$AA$3,IF(AB43="AMF",$AA$5,"")))</f>
        <v>0.5625</v>
      </c>
      <c r="O45" s="277">
        <v>1</v>
      </c>
      <c r="P45" s="278" t="s">
        <v>41</v>
      </c>
      <c r="Q45" s="279">
        <v>5</v>
      </c>
      <c r="R45" s="280" t="s">
        <v>135</v>
      </c>
      <c r="S45" s="245" t="str">
        <f>IF(AC43="AM","①",IF(AC43="PM","④",IF(AC43="AMF","①","")))</f>
        <v>①</v>
      </c>
      <c r="T45" s="276">
        <f>IF(AC43="AM",$AA$1,IF(AC43="PM",$AA$3,IF(AC43="AMF",$AA$5,"")))</f>
        <v>0.375</v>
      </c>
      <c r="U45" s="277"/>
      <c r="V45" s="278"/>
      <c r="W45" s="279"/>
      <c r="X45" s="280"/>
      <c r="Z45" s="106" t="s">
        <v>227</v>
      </c>
      <c r="AA45" s="106" t="s">
        <v>231</v>
      </c>
    </row>
    <row r="46" spans="1:29" s="106" customFormat="1" x14ac:dyDescent="0.4">
      <c r="A46" s="281" t="s">
        <v>60</v>
      </c>
      <c r="B46" s="282">
        <f>B45+0.0278</f>
        <v>0.40279999999999999</v>
      </c>
      <c r="C46" s="277">
        <v>8</v>
      </c>
      <c r="D46" s="278" t="s">
        <v>112</v>
      </c>
      <c r="E46" s="279">
        <v>2</v>
      </c>
      <c r="F46" s="280" t="s">
        <v>105</v>
      </c>
      <c r="G46" s="281" t="s">
        <v>60</v>
      </c>
      <c r="H46" s="282">
        <f>H45+0.0278</f>
        <v>0.40279999999999999</v>
      </c>
      <c r="I46" s="277">
        <v>3</v>
      </c>
      <c r="J46" s="283" t="s">
        <v>41</v>
      </c>
      <c r="K46" s="279">
        <v>6</v>
      </c>
      <c r="L46" s="280" t="s">
        <v>136</v>
      </c>
      <c r="M46" s="281" t="str">
        <f>IF(AB$43="AM",Z46,IF(AB$43="PM",AA46,IF(AB$43="AMF",Z46,"")))</f>
        <v>⑥</v>
      </c>
      <c r="N46" s="282">
        <f>N45+0.0278</f>
        <v>0.59030000000000005</v>
      </c>
      <c r="O46" s="277">
        <v>3</v>
      </c>
      <c r="P46" s="283" t="s">
        <v>41</v>
      </c>
      <c r="Q46" s="279">
        <v>6</v>
      </c>
      <c r="R46" s="280" t="s">
        <v>136</v>
      </c>
      <c r="S46" s="281" t="s">
        <v>60</v>
      </c>
      <c r="T46" s="282">
        <f>T45+0.0278</f>
        <v>0.40279999999999999</v>
      </c>
      <c r="U46" s="277"/>
      <c r="V46" s="278"/>
      <c r="W46" s="279"/>
      <c r="X46" s="280"/>
      <c r="Z46" s="106" t="s">
        <v>228</v>
      </c>
      <c r="AA46" s="106" t="s">
        <v>232</v>
      </c>
    </row>
    <row r="47" spans="1:29" s="106" customFormat="1" x14ac:dyDescent="0.4">
      <c r="A47" s="284" t="s">
        <v>62</v>
      </c>
      <c r="B47" s="285">
        <f>B46+0.035</f>
        <v>0.43779999999999997</v>
      </c>
      <c r="C47" s="286">
        <v>7</v>
      </c>
      <c r="D47" s="283" t="s">
        <v>41</v>
      </c>
      <c r="E47" s="287">
        <v>2</v>
      </c>
      <c r="F47" s="288" t="s">
        <v>106</v>
      </c>
      <c r="G47" s="281" t="s">
        <v>62</v>
      </c>
      <c r="H47" s="285">
        <f>H46+0.035</f>
        <v>0.43779999999999997</v>
      </c>
      <c r="I47" s="286">
        <v>3</v>
      </c>
      <c r="J47" s="283" t="s">
        <v>41</v>
      </c>
      <c r="K47" s="287">
        <v>5</v>
      </c>
      <c r="L47" s="288" t="s">
        <v>137</v>
      </c>
      <c r="M47" s="281" t="str">
        <f>IF(AB$43="AM",Z47,IF(AB$43="PM",AA47,IF(AB$43="AMF",Z47,"")))</f>
        <v>⑦</v>
      </c>
      <c r="N47" s="285">
        <f>N46+0.035</f>
        <v>0.62530000000000008</v>
      </c>
      <c r="O47" s="286">
        <v>3</v>
      </c>
      <c r="P47" s="283" t="s">
        <v>41</v>
      </c>
      <c r="Q47" s="287">
        <v>5</v>
      </c>
      <c r="R47" s="288" t="s">
        <v>137</v>
      </c>
      <c r="S47" s="281" t="s">
        <v>62</v>
      </c>
      <c r="T47" s="285">
        <f>T46+0.035</f>
        <v>0.43779999999999997</v>
      </c>
      <c r="U47" s="286"/>
      <c r="V47" s="283"/>
      <c r="W47" s="287"/>
      <c r="X47" s="288"/>
      <c r="Z47" s="106" t="s">
        <v>229</v>
      </c>
      <c r="AA47" s="106" t="s">
        <v>233</v>
      </c>
    </row>
    <row r="48" spans="1:29" s="106" customFormat="1" x14ac:dyDescent="0.4">
      <c r="A48" s="289" t="s">
        <v>64</v>
      </c>
      <c r="B48" s="290">
        <f>B47+0.0278</f>
        <v>0.46559999999999996</v>
      </c>
      <c r="C48" s="291">
        <v>1</v>
      </c>
      <c r="D48" s="292" t="s">
        <v>41</v>
      </c>
      <c r="E48" s="293">
        <v>8</v>
      </c>
      <c r="F48" s="294" t="s">
        <v>107</v>
      </c>
      <c r="G48" s="295" t="s">
        <v>64</v>
      </c>
      <c r="H48" s="290">
        <f>H47+0.0278</f>
        <v>0.46559999999999996</v>
      </c>
      <c r="I48" s="291">
        <v>1</v>
      </c>
      <c r="J48" s="292" t="s">
        <v>41</v>
      </c>
      <c r="K48" s="293">
        <v>6</v>
      </c>
      <c r="L48" s="294" t="s">
        <v>138</v>
      </c>
      <c r="M48" s="295" t="str">
        <f>IF(AB$43="AM",Z48,IF(AB$43="PM",AA48,IF(AB$43="AMF",Z48,"")))</f>
        <v>⑧</v>
      </c>
      <c r="N48" s="290">
        <f>N47+0.0278</f>
        <v>0.65310000000000012</v>
      </c>
      <c r="O48" s="291">
        <v>1</v>
      </c>
      <c r="P48" s="292" t="s">
        <v>41</v>
      </c>
      <c r="Q48" s="293">
        <v>6</v>
      </c>
      <c r="R48" s="294" t="s">
        <v>138</v>
      </c>
      <c r="S48" s="295" t="s">
        <v>64</v>
      </c>
      <c r="T48" s="290">
        <f>T47+0.0278</f>
        <v>0.46559999999999996</v>
      </c>
      <c r="U48" s="291"/>
      <c r="V48" s="292"/>
      <c r="W48" s="293"/>
      <c r="X48" s="294"/>
      <c r="Z48" s="106" t="s">
        <v>230</v>
      </c>
      <c r="AA48" s="106" t="s">
        <v>234</v>
      </c>
    </row>
    <row r="49" spans="1:29" s="106" customFormat="1" ht="4.5" customHeight="1" x14ac:dyDescent="0.4">
      <c r="A49" s="296"/>
      <c r="B49" s="267"/>
      <c r="C49" s="297"/>
      <c r="D49" s="297"/>
      <c r="E49" s="297"/>
      <c r="F49" s="267"/>
      <c r="G49" s="267"/>
      <c r="H49" s="267"/>
      <c r="I49" s="297"/>
      <c r="J49" s="297"/>
      <c r="K49" s="297"/>
      <c r="L49" s="267"/>
      <c r="M49" s="267"/>
      <c r="N49" s="267"/>
      <c r="O49" s="297"/>
      <c r="P49" s="297"/>
      <c r="Q49" s="297"/>
      <c r="R49" s="267"/>
      <c r="S49" s="267"/>
      <c r="T49" s="267"/>
      <c r="U49" s="297"/>
      <c r="V49" s="297"/>
      <c r="W49" s="297"/>
      <c r="X49" s="298"/>
    </row>
    <row r="50" spans="1:29" s="106" customFormat="1" x14ac:dyDescent="0.4">
      <c r="A50" s="428" t="s">
        <v>35</v>
      </c>
      <c r="B50" s="429"/>
      <c r="C50" s="430" t="str">
        <f>U10組合せ!E34</f>
        <v>A3456</v>
      </c>
      <c r="D50" s="431"/>
      <c r="E50" s="431"/>
      <c r="F50" s="432"/>
      <c r="G50" s="428" t="s">
        <v>53</v>
      </c>
      <c r="H50" s="429"/>
      <c r="I50" s="430" t="str">
        <f>U10組合せ!G34</f>
        <v>B247</v>
      </c>
      <c r="J50" s="431"/>
      <c r="K50" s="431"/>
      <c r="L50" s="432"/>
      <c r="M50" s="428" t="s">
        <v>53</v>
      </c>
      <c r="N50" s="429"/>
      <c r="O50" s="430" t="str">
        <f>U10組合せ!I34</f>
        <v>C246</v>
      </c>
      <c r="P50" s="431"/>
      <c r="Q50" s="431"/>
      <c r="R50" s="432"/>
      <c r="S50" s="428" t="s">
        <v>53</v>
      </c>
      <c r="T50" s="429"/>
      <c r="U50" s="430"/>
      <c r="V50" s="431"/>
      <c r="W50" s="431"/>
      <c r="X50" s="432"/>
    </row>
    <row r="51" spans="1:29" s="106" customFormat="1" x14ac:dyDescent="0.4">
      <c r="A51" s="426" t="s">
        <v>36</v>
      </c>
      <c r="B51" s="427"/>
      <c r="C51" s="423" t="str">
        <f>IF(U10組合せ!E33="","未定",U10組合せ!E33)</f>
        <v>石井 4　PM</v>
      </c>
      <c r="D51" s="424"/>
      <c r="E51" s="424"/>
      <c r="F51" s="425"/>
      <c r="G51" s="426" t="s">
        <v>36</v>
      </c>
      <c r="H51" s="427"/>
      <c r="I51" s="423" t="str">
        <f>IF(U10組合せ!G33="","未定",U10組合せ!G33)</f>
        <v>石井 3 AM</v>
      </c>
      <c r="J51" s="424"/>
      <c r="K51" s="424"/>
      <c r="L51" s="425"/>
      <c r="M51" s="426" t="s">
        <v>36</v>
      </c>
      <c r="N51" s="427"/>
      <c r="O51" s="423" t="str">
        <f>IF(U10組合せ!I33="","未定",U10組合せ!I33)</f>
        <v>陽南小</v>
      </c>
      <c r="P51" s="424"/>
      <c r="Q51" s="424"/>
      <c r="R51" s="425"/>
      <c r="S51" s="426" t="s">
        <v>36</v>
      </c>
      <c r="T51" s="427"/>
      <c r="U51" s="423"/>
      <c r="V51" s="424"/>
      <c r="W51" s="424"/>
      <c r="X51" s="425"/>
      <c r="Z51" s="275" t="str">
        <f>IF(COUNTIF(C51,"*AM*"),"AM",IF(COUNTIF(C51,"*PM*"),"PM","AMF"))</f>
        <v>PM</v>
      </c>
      <c r="AA51" s="275" t="str">
        <f>IF(COUNTIF(I51,"*AM*"),"AM",IF(COUNTIF(I51,"*PM*"),"PM","AMF"))</f>
        <v>AM</v>
      </c>
      <c r="AB51" s="275" t="str">
        <f>IF(COUNTIF(O51,"*AM*"),"AM",IF(COUNTIF(O51,"*PM*"),"PM","AMF"))</f>
        <v>AMF</v>
      </c>
      <c r="AC51" s="275" t="str">
        <f>IF(COUNTIF(U51,"*AM*"),"AM",IF(COUNTIF(U51,"*PM*"),"PM","AMF"))</f>
        <v>AMF</v>
      </c>
    </row>
    <row r="52" spans="1:29" s="106" customFormat="1" x14ac:dyDescent="0.4">
      <c r="A52" s="426" t="s">
        <v>37</v>
      </c>
      <c r="B52" s="427"/>
      <c r="C52" s="435" t="str">
        <f ca="1">Ａブロック対戦表!T158</f>
        <v>ともぞうSC U10</v>
      </c>
      <c r="D52" s="436"/>
      <c r="E52" s="436"/>
      <c r="F52" s="437"/>
      <c r="G52" s="426" t="s">
        <v>37</v>
      </c>
      <c r="H52" s="427"/>
      <c r="I52" s="435" t="str">
        <f ca="1">Bブロック対戦表!T161</f>
        <v>栃木SC　U-10</v>
      </c>
      <c r="J52" s="436"/>
      <c r="K52" s="436"/>
      <c r="L52" s="437"/>
      <c r="M52" s="426" t="s">
        <v>37</v>
      </c>
      <c r="N52" s="427"/>
      <c r="O52" s="435" t="str">
        <f>Cブロック対戦表!T161</f>
        <v>緑ヶ丘YFC</v>
      </c>
      <c r="P52" s="436"/>
      <c r="Q52" s="436"/>
      <c r="R52" s="437"/>
      <c r="S52" s="426" t="s">
        <v>37</v>
      </c>
      <c r="T52" s="427"/>
      <c r="U52" s="435"/>
      <c r="V52" s="436"/>
      <c r="W52" s="436"/>
      <c r="X52" s="437"/>
      <c r="Z52" s="299"/>
    </row>
    <row r="53" spans="1:29" s="106" customFormat="1" ht="21.75" customHeight="1" x14ac:dyDescent="0.4">
      <c r="A53" s="245" t="str">
        <f>IF($Z$51="AM",$Z$53,IF($Z$51="PM",$AA53,IF($Z$51="AMF",$Z53,"")))</f>
        <v>⑤</v>
      </c>
      <c r="B53" s="276">
        <f>IF(Z51="AM",$AA$1,IF(Z51="PM",$AA$3,IF(Z51="AMF",$AA$5,"")))</f>
        <v>0.5625</v>
      </c>
      <c r="C53" s="300">
        <v>3</v>
      </c>
      <c r="D53" s="301" t="s">
        <v>41</v>
      </c>
      <c r="E53" s="302">
        <v>5</v>
      </c>
      <c r="F53" s="280" t="s">
        <v>119</v>
      </c>
      <c r="G53" s="245" t="str">
        <f>IF($AA$51="AM",$Z53,IF($AA$51="PM",$AA53,IF($AA$51="AMF",$Z53,"")))</f>
        <v>①</v>
      </c>
      <c r="H53" s="276">
        <f>IF(AA51="AM",$AA$1,IF(AA51="PM",$AA$3,IF(AA51="AMF",$AA$5,"")))</f>
        <v>0.375</v>
      </c>
      <c r="I53" s="300">
        <v>4</v>
      </c>
      <c r="J53" s="301" t="s">
        <v>112</v>
      </c>
      <c r="K53" s="302">
        <v>7</v>
      </c>
      <c r="L53" s="280" t="s">
        <v>139</v>
      </c>
      <c r="M53" s="245" t="str">
        <f>IF($AB$51="AM",$Z53,IF($AB$51="PM",$AA53,IF($AB$51="AMF",$Z53,"")))</f>
        <v>①</v>
      </c>
      <c r="N53" s="276">
        <f>IF(AB51="AM",$AA$1,IF(AB51="PM",$AA$3,IF(AB51="AMF",$AA$5,"")))</f>
        <v>0.375</v>
      </c>
      <c r="O53" s="300">
        <v>4</v>
      </c>
      <c r="P53" s="301" t="s">
        <v>41</v>
      </c>
      <c r="Q53" s="302">
        <v>7</v>
      </c>
      <c r="R53" s="280" t="s">
        <v>139</v>
      </c>
      <c r="S53" s="245" t="str">
        <f>IF(AC51="AM","①",IF(AC51="PM","④",IF(AC51="AMF","①","")))</f>
        <v>①</v>
      </c>
      <c r="T53" s="276">
        <f>IF(AC51="AM",$AA$1,IF(AC51="PM",$AA$3,IF(AC51="AMF",$AA$5,"")))</f>
        <v>0.375</v>
      </c>
      <c r="U53" s="300"/>
      <c r="V53" s="301"/>
      <c r="W53" s="302"/>
      <c r="X53" s="280"/>
      <c r="Z53" s="106" t="s">
        <v>227</v>
      </c>
      <c r="AA53" s="106" t="s">
        <v>231</v>
      </c>
    </row>
    <row r="54" spans="1:29" s="106" customFormat="1" ht="18.75" customHeight="1" x14ac:dyDescent="0.4">
      <c r="A54" s="281" t="str">
        <f>IF($Z$51="AM",$Z$53,IF($Z$51="PM",AA54,IF($Z$51="AMF",Z54,"")))</f>
        <v>⑥</v>
      </c>
      <c r="B54" s="282">
        <f>B53+0.0278</f>
        <v>0.59030000000000005</v>
      </c>
      <c r="C54" s="277">
        <v>4</v>
      </c>
      <c r="D54" s="278" t="s">
        <v>112</v>
      </c>
      <c r="E54" s="279">
        <v>6</v>
      </c>
      <c r="F54" s="280" t="s">
        <v>120</v>
      </c>
      <c r="G54" s="284" t="str">
        <f>IF($AA$51="AM",$Z54,IF($AA$51="PM",$AA54,IF($AA$51="AMF",$Z54,"")))</f>
        <v>②</v>
      </c>
      <c r="H54" s="282">
        <f>H53+0.035</f>
        <v>0.41000000000000003</v>
      </c>
      <c r="I54" s="277">
        <v>2</v>
      </c>
      <c r="J54" s="278" t="s">
        <v>112</v>
      </c>
      <c r="K54" s="279">
        <v>4</v>
      </c>
      <c r="L54" s="280" t="s">
        <v>140</v>
      </c>
      <c r="M54" s="281" t="str">
        <f>IF($AB$51="AM",$Z54,IF($AB$51="PM",$AA54,IF($AB$51="AMF",$Z54,"")))</f>
        <v>②</v>
      </c>
      <c r="N54" s="282">
        <f>N53+0.035</f>
        <v>0.41000000000000003</v>
      </c>
      <c r="O54" s="277">
        <v>2</v>
      </c>
      <c r="P54" s="278" t="s">
        <v>41</v>
      </c>
      <c r="Q54" s="279">
        <v>4</v>
      </c>
      <c r="R54" s="280" t="s">
        <v>140</v>
      </c>
      <c r="S54" s="281" t="s">
        <v>60</v>
      </c>
      <c r="T54" s="282">
        <f>T53+0.035</f>
        <v>0.41000000000000003</v>
      </c>
      <c r="U54" s="277"/>
      <c r="V54" s="278"/>
      <c r="W54" s="279"/>
      <c r="X54" s="280"/>
      <c r="Z54" s="106" t="s">
        <v>228</v>
      </c>
      <c r="AA54" s="106" t="s">
        <v>232</v>
      </c>
    </row>
    <row r="55" spans="1:29" s="106" customFormat="1" x14ac:dyDescent="0.4">
      <c r="A55" s="284" t="str">
        <f>IF($Z$51="AM",$Z$53,IF($Z$51="PM",AA55,IF($Z$51="AMF",Z55,"")))</f>
        <v>⑦</v>
      </c>
      <c r="B55" s="285">
        <f>B54+0.035</f>
        <v>0.62530000000000008</v>
      </c>
      <c r="C55" s="286">
        <v>4</v>
      </c>
      <c r="D55" s="283"/>
      <c r="E55" s="287">
        <v>5</v>
      </c>
      <c r="F55" s="288" t="s">
        <v>121</v>
      </c>
      <c r="G55" s="284" t="str">
        <f>IF($AA$51="AM",$Z55,IF($AA$51="PM",$AA55,IF($AA$51="AMF",$Z55,"")))</f>
        <v>③</v>
      </c>
      <c r="H55" s="285">
        <f>H54+0.035</f>
        <v>0.44500000000000006</v>
      </c>
      <c r="I55" s="286">
        <v>2</v>
      </c>
      <c r="J55" s="283" t="s">
        <v>112</v>
      </c>
      <c r="K55" s="287">
        <v>7</v>
      </c>
      <c r="L55" s="288" t="s">
        <v>141</v>
      </c>
      <c r="M55" s="281" t="str">
        <f>IF($AB$51="AM",$Z55,IF($AB$51="PM",$AA55,IF($AB$51="AMF",$Z55,"")))</f>
        <v>③</v>
      </c>
      <c r="N55" s="285">
        <f>N54+0.035</f>
        <v>0.44500000000000006</v>
      </c>
      <c r="O55" s="286">
        <v>2</v>
      </c>
      <c r="P55" s="283" t="s">
        <v>41</v>
      </c>
      <c r="Q55" s="287">
        <v>7</v>
      </c>
      <c r="R55" s="288" t="s">
        <v>141</v>
      </c>
      <c r="S55" s="281" t="s">
        <v>62</v>
      </c>
      <c r="T55" s="285">
        <f>T54+0.035</f>
        <v>0.44500000000000006</v>
      </c>
      <c r="U55" s="286"/>
      <c r="V55" s="283"/>
      <c r="W55" s="287"/>
      <c r="X55" s="288"/>
      <c r="Z55" s="106" t="s">
        <v>229</v>
      </c>
      <c r="AA55" s="106" t="s">
        <v>233</v>
      </c>
    </row>
    <row r="56" spans="1:29" s="106" customFormat="1" x14ac:dyDescent="0.4">
      <c r="A56" s="289" t="str">
        <f>IF($Z$51="AM",$Z$53,IF($Z$51="PM",AA56,IF($Z$51="AMF",Z56,"")))</f>
        <v>⑧</v>
      </c>
      <c r="B56" s="290">
        <f>B55+0.0278</f>
        <v>0.65310000000000012</v>
      </c>
      <c r="C56" s="291">
        <v>3</v>
      </c>
      <c r="D56" s="292"/>
      <c r="E56" s="293">
        <v>6</v>
      </c>
      <c r="F56" s="294" t="s">
        <v>122</v>
      </c>
      <c r="G56" s="295"/>
      <c r="H56" s="290"/>
      <c r="I56" s="291"/>
      <c r="J56" s="292"/>
      <c r="K56" s="293"/>
      <c r="L56" s="294"/>
      <c r="M56" s="295"/>
      <c r="N56" s="290"/>
      <c r="O56" s="291"/>
      <c r="P56" s="292"/>
      <c r="Q56" s="293"/>
      <c r="R56" s="294"/>
      <c r="S56" s="295" t="s">
        <v>64</v>
      </c>
      <c r="T56" s="290">
        <f>T55+0.0278</f>
        <v>0.47280000000000005</v>
      </c>
      <c r="U56" s="291"/>
      <c r="V56" s="292"/>
      <c r="W56" s="293"/>
      <c r="X56" s="294"/>
      <c r="Z56" s="106" t="s">
        <v>230</v>
      </c>
      <c r="AA56" s="106" t="s">
        <v>234</v>
      </c>
    </row>
    <row r="57" spans="1:29" s="106" customFormat="1" ht="15" customHeight="1" x14ac:dyDescent="0.4">
      <c r="C57" s="230"/>
      <c r="D57" s="230"/>
      <c r="E57" s="230"/>
    </row>
    <row r="58" spans="1:29" s="106" customFormat="1" ht="24" x14ac:dyDescent="0.4">
      <c r="A58" s="303" t="s">
        <v>56</v>
      </c>
      <c r="B58" s="303"/>
      <c r="C58" s="304"/>
      <c r="D58" s="304"/>
      <c r="E58" s="304"/>
      <c r="F58" s="305">
        <f>U10組合せ!B37</f>
        <v>44353</v>
      </c>
      <c r="G58" s="303"/>
      <c r="H58" s="305" t="str">
        <f>"("&amp;U10組合せ!C37&amp;")"</f>
        <v>(日)</v>
      </c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</row>
    <row r="59" spans="1:29" ht="3.75" customHeight="1" x14ac:dyDescent="0.4"/>
    <row r="60" spans="1:29" x14ac:dyDescent="0.4">
      <c r="A60" s="421" t="s">
        <v>35</v>
      </c>
      <c r="B60" s="422"/>
      <c r="C60" s="411" t="str">
        <f>U10組合せ!E38</f>
        <v>A1256</v>
      </c>
      <c r="D60" s="412"/>
      <c r="E60" s="412"/>
      <c r="F60" s="413"/>
      <c r="G60" s="421" t="s">
        <v>35</v>
      </c>
      <c r="H60" s="422"/>
      <c r="I60" s="411" t="str">
        <f>IF(U10組合せ!G38="","",U10組合せ!G38)</f>
        <v/>
      </c>
      <c r="J60" s="412"/>
      <c r="K60" s="412"/>
      <c r="L60" s="413"/>
      <c r="M60" s="421" t="s">
        <v>53</v>
      </c>
      <c r="N60" s="422"/>
      <c r="O60" s="411" t="str">
        <f>IF(U10組合せ!I38="","",U10組合せ!I38)</f>
        <v/>
      </c>
      <c r="P60" s="412"/>
      <c r="Q60" s="412"/>
      <c r="R60" s="413"/>
      <c r="S60" s="421" t="s">
        <v>53</v>
      </c>
      <c r="T60" s="422"/>
      <c r="U60" s="411"/>
      <c r="V60" s="412"/>
      <c r="W60" s="412"/>
      <c r="X60" s="413"/>
    </row>
    <row r="61" spans="1:29" x14ac:dyDescent="0.4">
      <c r="A61" s="414" t="s">
        <v>36</v>
      </c>
      <c r="B61" s="415"/>
      <c r="C61" s="416" t="str">
        <f>IF(U10組合せ!E37="","未定",U10組合せ!E37)</f>
        <v>石井 1 AM</v>
      </c>
      <c r="D61" s="417"/>
      <c r="E61" s="417"/>
      <c r="F61" s="418"/>
      <c r="G61" s="414" t="s">
        <v>36</v>
      </c>
      <c r="H61" s="415"/>
      <c r="I61" s="438" t="str">
        <f>IF(U10組合せ!G37="","",U10組合せ!G37)</f>
        <v/>
      </c>
      <c r="J61" s="439"/>
      <c r="K61" s="439"/>
      <c r="L61" s="440"/>
      <c r="M61" s="414" t="s">
        <v>54</v>
      </c>
      <c r="N61" s="415"/>
      <c r="O61" s="438" t="str">
        <f>IF(U10組合せ!I37="","",U10組合せ!I37)</f>
        <v/>
      </c>
      <c r="P61" s="439"/>
      <c r="Q61" s="439"/>
      <c r="R61" s="440"/>
      <c r="S61" s="414" t="s">
        <v>54</v>
      </c>
      <c r="T61" s="415"/>
      <c r="U61" s="416"/>
      <c r="V61" s="417"/>
      <c r="W61" s="417"/>
      <c r="X61" s="418"/>
      <c r="Z61" s="107" t="str">
        <f>IF(COUNTIF(C61,"*AM*"),"AM",IF(COUNTIF(C61,"*PM*"),"PM","AMF"))</f>
        <v>AM</v>
      </c>
      <c r="AA61" s="107" t="str">
        <f>IF(COUNTIF(I61,"*AM*"),"AM",IF(COUNTIF(I61,"*PM*"),"PM","AMF"))</f>
        <v>AMF</v>
      </c>
      <c r="AB61" s="107" t="str">
        <f>IF(COUNTIF(O61,"*AM*"),"AM",IF(COUNTIF(O61,"*PM*"),"PM","AMF"))</f>
        <v>AMF</v>
      </c>
      <c r="AC61" s="107" t="str">
        <f>IF(COUNTIF(U61,"*AM*"),"AM",IF(COUNTIF(U61,"*PM*"),"PM","AMF"))</f>
        <v>AMF</v>
      </c>
    </row>
    <row r="62" spans="1:29" x14ac:dyDescent="0.4">
      <c r="A62" s="419" t="s">
        <v>37</v>
      </c>
      <c r="B62" s="420"/>
      <c r="C62" s="408" t="str">
        <f ca="1">Ａブロック対戦表!T189</f>
        <v>unionscU10</v>
      </c>
      <c r="D62" s="409"/>
      <c r="E62" s="409"/>
      <c r="F62" s="410"/>
      <c r="G62" s="419" t="s">
        <v>37</v>
      </c>
      <c r="H62" s="420"/>
      <c r="I62" s="408"/>
      <c r="J62" s="409"/>
      <c r="K62" s="409"/>
      <c r="L62" s="410"/>
      <c r="M62" s="419" t="s">
        <v>37</v>
      </c>
      <c r="N62" s="420"/>
      <c r="O62" s="408"/>
      <c r="P62" s="409"/>
      <c r="Q62" s="409"/>
      <c r="R62" s="410"/>
      <c r="S62" s="419" t="s">
        <v>37</v>
      </c>
      <c r="T62" s="420"/>
      <c r="U62" s="408"/>
      <c r="V62" s="409"/>
      <c r="W62" s="409"/>
      <c r="X62" s="410"/>
    </row>
    <row r="63" spans="1:29" x14ac:dyDescent="0.4">
      <c r="A63" s="91" t="str">
        <f>IF(Z61="AM","①",IF(Z61="PM","④",IF(Z61="AMF","①","")))</f>
        <v>①</v>
      </c>
      <c r="B63" s="92">
        <f>IF(Z61="AM",$AA$1,IF(Z61="PM",$AA$3,IF(Z61="AMF",$AA$5,"")))</f>
        <v>0.375</v>
      </c>
      <c r="C63" s="80">
        <v>1</v>
      </c>
      <c r="D63" s="70" t="s">
        <v>41</v>
      </c>
      <c r="E63" s="81">
        <v>6</v>
      </c>
      <c r="F63" s="71" t="s">
        <v>109</v>
      </c>
      <c r="G63" s="91" t="str">
        <f>IF(AA61="AM","①",IF(AA61="PM","④",IF(AA61="AMF","①","")))</f>
        <v>①</v>
      </c>
      <c r="H63" s="92">
        <f>IF(AA61="AM",$AA$1,IF(AA61="PM",$AA$3,IF(AA61="AMF",$AA$5,"")))</f>
        <v>0.375</v>
      </c>
      <c r="I63" s="80"/>
      <c r="J63" s="70"/>
      <c r="K63" s="81"/>
      <c r="L63" s="71"/>
      <c r="M63" s="91" t="str">
        <f>IF(AB61="AM","①",IF(AB61="PM","④",IF(AB61="AMF","①","")))</f>
        <v>①</v>
      </c>
      <c r="N63" s="92">
        <f>IF(AB61="AM",$AA$1,IF(AB61="PM",$AA$3,IF(AB61="AMF",$AA$5,"")))</f>
        <v>0.375</v>
      </c>
      <c r="O63" s="80"/>
      <c r="P63" s="70"/>
      <c r="Q63" s="81"/>
      <c r="R63" s="71"/>
      <c r="S63" s="91" t="str">
        <f>IF(AC61="AM","①",IF(AC61="PM","④",IF(AC61="AMF","①","")))</f>
        <v>①</v>
      </c>
      <c r="T63" s="92">
        <f>IF(AC61="AM",$AA$1,IF(AC61="PM",$AA$3,IF(AC61="AMF",$AA$5,"")))</f>
        <v>0.375</v>
      </c>
      <c r="U63" s="80"/>
      <c r="V63" s="70"/>
      <c r="W63" s="81"/>
      <c r="X63" s="71"/>
      <c r="Z63" t="s">
        <v>227</v>
      </c>
      <c r="AA63" t="s">
        <v>231</v>
      </c>
    </row>
    <row r="64" spans="1:29" x14ac:dyDescent="0.4">
      <c r="A64" s="79" t="s">
        <v>60</v>
      </c>
      <c r="B64" s="97">
        <f>B63+0.0278</f>
        <v>0.40279999999999999</v>
      </c>
      <c r="C64" s="80">
        <v>2</v>
      </c>
      <c r="D64" s="70"/>
      <c r="E64" s="81">
        <v>5</v>
      </c>
      <c r="F64" s="71" t="s">
        <v>111</v>
      </c>
      <c r="G64" s="79" t="s">
        <v>60</v>
      </c>
      <c r="H64" s="97">
        <f>H63+0.0278</f>
        <v>0.40279999999999999</v>
      </c>
      <c r="I64" s="80"/>
      <c r="J64" s="70"/>
      <c r="K64" s="81"/>
      <c r="L64" s="71"/>
      <c r="M64" s="79" t="s">
        <v>60</v>
      </c>
      <c r="N64" s="97">
        <f>N63+0.0278</f>
        <v>0.40279999999999999</v>
      </c>
      <c r="O64" s="80"/>
      <c r="P64" s="70"/>
      <c r="Q64" s="81"/>
      <c r="R64" s="71"/>
      <c r="S64" s="79" t="s">
        <v>60</v>
      </c>
      <c r="T64" s="97">
        <f>T63+0.0278</f>
        <v>0.40279999999999999</v>
      </c>
      <c r="U64" s="80"/>
      <c r="V64" s="70"/>
      <c r="W64" s="81"/>
      <c r="X64" s="71"/>
      <c r="Z64" t="s">
        <v>228</v>
      </c>
      <c r="AA64" t="s">
        <v>232</v>
      </c>
    </row>
    <row r="65" spans="1:29" x14ac:dyDescent="0.4">
      <c r="A65" s="63"/>
      <c r="B65" s="68"/>
      <c r="C65" s="108"/>
      <c r="D65" s="109"/>
      <c r="E65" s="110"/>
      <c r="F65" s="114"/>
      <c r="G65" s="79" t="s">
        <v>62</v>
      </c>
      <c r="H65" s="68">
        <f>H64+0.035</f>
        <v>0.43779999999999997</v>
      </c>
      <c r="I65" s="75"/>
      <c r="J65" s="64"/>
      <c r="K65" s="76"/>
      <c r="L65" s="65"/>
      <c r="M65" s="79" t="s">
        <v>62</v>
      </c>
      <c r="N65" s="68">
        <f>N64+0.035</f>
        <v>0.43779999999999997</v>
      </c>
      <c r="O65" s="75"/>
      <c r="P65" s="64"/>
      <c r="Q65" s="76"/>
      <c r="R65" s="65"/>
      <c r="S65" s="79" t="s">
        <v>62</v>
      </c>
      <c r="T65" s="68">
        <f>T64+0.035</f>
        <v>0.43779999999999997</v>
      </c>
      <c r="U65" s="75"/>
      <c r="V65" s="64"/>
      <c r="W65" s="76"/>
      <c r="X65" s="65"/>
      <c r="Z65" t="s">
        <v>229</v>
      </c>
      <c r="AA65" t="s">
        <v>233</v>
      </c>
    </row>
    <row r="66" spans="1:29" x14ac:dyDescent="0.4">
      <c r="A66" s="66"/>
      <c r="B66" s="69"/>
      <c r="C66" s="111"/>
      <c r="D66" s="112"/>
      <c r="E66" s="113"/>
      <c r="F66" s="115"/>
      <c r="G66" s="93" t="s">
        <v>64</v>
      </c>
      <c r="H66" s="69">
        <f>H65+0.0278</f>
        <v>0.46559999999999996</v>
      </c>
      <c r="I66" s="77"/>
      <c r="J66" s="67"/>
      <c r="K66" s="78"/>
      <c r="L66" s="82"/>
      <c r="M66" s="93" t="s">
        <v>64</v>
      </c>
      <c r="N66" s="69">
        <f>N65+0.0278</f>
        <v>0.46559999999999996</v>
      </c>
      <c r="O66" s="77"/>
      <c r="P66" s="67"/>
      <c r="Q66" s="78"/>
      <c r="R66" s="82"/>
      <c r="S66" s="93" t="s">
        <v>64</v>
      </c>
      <c r="T66" s="69">
        <f>T65+0.0278</f>
        <v>0.46559999999999996</v>
      </c>
      <c r="U66" s="77"/>
      <c r="V66" s="67"/>
      <c r="W66" s="78"/>
      <c r="X66" s="82"/>
      <c r="Z66" t="s">
        <v>230</v>
      </c>
      <c r="AA66" t="s">
        <v>234</v>
      </c>
    </row>
    <row r="67" spans="1:29" ht="3.75" customHeight="1" x14ac:dyDescent="0.4">
      <c r="A67" s="87"/>
      <c r="B67" s="88"/>
      <c r="C67" s="89"/>
      <c r="D67" s="89"/>
      <c r="E67" s="89"/>
      <c r="F67" s="88"/>
      <c r="G67" s="88"/>
      <c r="H67" s="88"/>
      <c r="I67" s="89"/>
      <c r="J67" s="89"/>
      <c r="K67" s="89"/>
      <c r="L67" s="88"/>
      <c r="M67" s="88"/>
      <c r="N67" s="88"/>
      <c r="O67" s="89"/>
      <c r="P67" s="89"/>
      <c r="Q67" s="89"/>
      <c r="R67" s="88"/>
      <c r="S67" s="88"/>
      <c r="T67" s="88"/>
      <c r="U67" s="89"/>
      <c r="V67" s="89"/>
      <c r="W67" s="89"/>
      <c r="X67" s="90"/>
    </row>
    <row r="68" spans="1:29" x14ac:dyDescent="0.4">
      <c r="A68" s="421" t="s">
        <v>35</v>
      </c>
      <c r="B68" s="422"/>
      <c r="C68" s="411" t="str">
        <f>U10組合せ!E40</f>
        <v>A3478</v>
      </c>
      <c r="D68" s="412"/>
      <c r="E68" s="412"/>
      <c r="F68" s="413"/>
      <c r="G68" s="421" t="s">
        <v>53</v>
      </c>
      <c r="H68" s="422"/>
      <c r="I68" s="411"/>
      <c r="J68" s="412"/>
      <c r="K68" s="412"/>
      <c r="L68" s="413"/>
      <c r="M68" s="421" t="s">
        <v>53</v>
      </c>
      <c r="N68" s="422"/>
      <c r="O68" s="411"/>
      <c r="P68" s="412"/>
      <c r="Q68" s="412"/>
      <c r="R68" s="413"/>
      <c r="S68" s="421" t="s">
        <v>53</v>
      </c>
      <c r="T68" s="422"/>
      <c r="U68" s="411"/>
      <c r="V68" s="412"/>
      <c r="W68" s="412"/>
      <c r="X68" s="413"/>
    </row>
    <row r="69" spans="1:29" x14ac:dyDescent="0.4">
      <c r="A69" s="414" t="s">
        <v>36</v>
      </c>
      <c r="B69" s="415"/>
      <c r="C69" s="416" t="str">
        <f>IF(U10組合せ!E39="","未定",U10組合せ!E39)</f>
        <v>清原南小</v>
      </c>
      <c r="D69" s="417"/>
      <c r="E69" s="417"/>
      <c r="F69" s="418"/>
      <c r="G69" s="414" t="s">
        <v>36</v>
      </c>
      <c r="H69" s="415"/>
      <c r="I69" s="416"/>
      <c r="J69" s="417"/>
      <c r="K69" s="417"/>
      <c r="L69" s="418"/>
      <c r="M69" s="414" t="s">
        <v>36</v>
      </c>
      <c r="N69" s="415"/>
      <c r="O69" s="416"/>
      <c r="P69" s="417"/>
      <c r="Q69" s="417"/>
      <c r="R69" s="418"/>
      <c r="S69" s="414" t="s">
        <v>36</v>
      </c>
      <c r="T69" s="415"/>
      <c r="U69" s="416"/>
      <c r="V69" s="417"/>
      <c r="W69" s="417"/>
      <c r="X69" s="418"/>
      <c r="Z69" s="107" t="str">
        <f>IF(COUNTIF(C69,"*AM*"),"AM",IF(COUNTIF(C69,"*PM*"),"PM","AMF"))</f>
        <v>AMF</v>
      </c>
      <c r="AA69" s="107" t="str">
        <f>IF(COUNTIF(I69,"*AM*"),"AM",IF(COUNTIF(I69,"*PM*"),"PM","AMF"))</f>
        <v>AMF</v>
      </c>
      <c r="AB69" s="107" t="str">
        <f>IF(COUNTIF(O69,"*AM*"),"AM",IF(COUNTIF(O69,"*PM*"),"PM","AMF"))</f>
        <v>AMF</v>
      </c>
      <c r="AC69" s="107" t="str">
        <f>IF(COUNTIF(U69,"*AM*"),"AM",IF(COUNTIF(U69,"*PM*"),"PM","AMF"))</f>
        <v>AMF</v>
      </c>
    </row>
    <row r="70" spans="1:29" x14ac:dyDescent="0.4">
      <c r="A70" s="414" t="s">
        <v>37</v>
      </c>
      <c r="B70" s="415"/>
      <c r="C70" s="408" t="str">
        <f>Ａブロック対戦表!T220</f>
        <v>清原シザース</v>
      </c>
      <c r="D70" s="409"/>
      <c r="E70" s="409"/>
      <c r="F70" s="410"/>
      <c r="G70" s="414" t="s">
        <v>37</v>
      </c>
      <c r="H70" s="415"/>
      <c r="I70" s="408"/>
      <c r="J70" s="409"/>
      <c r="K70" s="409"/>
      <c r="L70" s="410"/>
      <c r="M70" s="414" t="s">
        <v>37</v>
      </c>
      <c r="N70" s="415"/>
      <c r="O70" s="408"/>
      <c r="P70" s="409"/>
      <c r="Q70" s="409"/>
      <c r="R70" s="410"/>
      <c r="S70" s="414" t="s">
        <v>37</v>
      </c>
      <c r="T70" s="415"/>
      <c r="U70" s="408"/>
      <c r="V70" s="409"/>
      <c r="W70" s="409"/>
      <c r="X70" s="410"/>
      <c r="Z70" s="86"/>
    </row>
    <row r="71" spans="1:29" x14ac:dyDescent="0.4">
      <c r="A71" s="91" t="str">
        <f>IF(Z69="AM","①",IF(Z69="PM","④",IF(Z69="AMF","①","")))</f>
        <v>①</v>
      </c>
      <c r="B71" s="92">
        <f>IF(Z69="AM",$AA$1,IF(Z69="PM",$AA$3,IF(Z69="AMF",$AA$5,"")))</f>
        <v>0.375</v>
      </c>
      <c r="C71" s="72">
        <v>3</v>
      </c>
      <c r="D71" s="73" t="s">
        <v>41</v>
      </c>
      <c r="E71" s="74">
        <v>7</v>
      </c>
      <c r="F71" s="71" t="s">
        <v>123</v>
      </c>
      <c r="G71" s="91" t="str">
        <f>IF(AA69="AM","①",IF(AA69="PM","④",IF(AA69="AMF","①","")))</f>
        <v>①</v>
      </c>
      <c r="H71" s="92">
        <f>IF(AA69="AM",$AA$1,IF(AA69="PM",$AA$3,IF(AA69="AMF",$AA$5,"")))</f>
        <v>0.375</v>
      </c>
      <c r="I71" s="72"/>
      <c r="J71" s="73"/>
      <c r="K71" s="74"/>
      <c r="L71" s="71"/>
      <c r="M71" s="91" t="str">
        <f>IF(AB69="AM","①",IF(AB69="PM","④",IF(AB69="AMF","①","")))</f>
        <v>①</v>
      </c>
      <c r="N71" s="92">
        <f>IF(AB69="AM",$AA$1,IF(AB69="PM",$AA$3,IF(AB69="AMF",$AA$5,"")))</f>
        <v>0.375</v>
      </c>
      <c r="O71" s="72"/>
      <c r="P71" s="73"/>
      <c r="Q71" s="74"/>
      <c r="R71" s="71"/>
      <c r="S71" s="91" t="str">
        <f>IF(AC69="AM","①",IF(AC69="PM","④",IF(AC69="AMF","①","")))</f>
        <v>①</v>
      </c>
      <c r="T71" s="92">
        <f>IF(AC69="AM",$AA$1,IF(AC69="PM",$AA$3,IF(AC69="AMF",$AA$5,"")))</f>
        <v>0.375</v>
      </c>
      <c r="U71" s="72"/>
      <c r="V71" s="73"/>
      <c r="W71" s="74"/>
      <c r="X71" s="71"/>
      <c r="Z71" t="s">
        <v>227</v>
      </c>
      <c r="AA71" t="s">
        <v>231</v>
      </c>
    </row>
    <row r="72" spans="1:29" x14ac:dyDescent="0.4">
      <c r="A72" s="79" t="s">
        <v>60</v>
      </c>
      <c r="B72" s="97">
        <f>B71+0.0278</f>
        <v>0.40279999999999999</v>
      </c>
      <c r="C72" s="80">
        <v>4</v>
      </c>
      <c r="D72" s="70" t="s">
        <v>112</v>
      </c>
      <c r="E72" s="81">
        <v>8</v>
      </c>
      <c r="F72" s="71" t="s">
        <v>124</v>
      </c>
      <c r="G72" s="79" t="s">
        <v>60</v>
      </c>
      <c r="H72" s="97">
        <f>H71+0.0278</f>
        <v>0.40279999999999999</v>
      </c>
      <c r="I72" s="80"/>
      <c r="J72" s="70"/>
      <c r="K72" s="81"/>
      <c r="L72" s="71"/>
      <c r="M72" s="79" t="s">
        <v>60</v>
      </c>
      <c r="N72" s="97">
        <f>N71+0.0278</f>
        <v>0.40279999999999999</v>
      </c>
      <c r="O72" s="80"/>
      <c r="P72" s="70"/>
      <c r="Q72" s="81"/>
      <c r="R72" s="71"/>
      <c r="S72" s="79" t="s">
        <v>60</v>
      </c>
      <c r="T72" s="97">
        <f>T71+0.0278</f>
        <v>0.40279999999999999</v>
      </c>
      <c r="U72" s="80"/>
      <c r="V72" s="70"/>
      <c r="W72" s="81"/>
      <c r="X72" s="71"/>
      <c r="Z72" t="s">
        <v>228</v>
      </c>
      <c r="AA72" t="s">
        <v>232</v>
      </c>
    </row>
    <row r="73" spans="1:29" x14ac:dyDescent="0.4">
      <c r="A73" s="63"/>
      <c r="B73" s="68"/>
      <c r="C73" s="108"/>
      <c r="D73" s="109"/>
      <c r="E73" s="110"/>
      <c r="F73" s="114"/>
      <c r="G73" s="79" t="s">
        <v>62</v>
      </c>
      <c r="H73" s="68">
        <f>H72+0.035</f>
        <v>0.43779999999999997</v>
      </c>
      <c r="I73" s="75"/>
      <c r="J73" s="64"/>
      <c r="K73" s="76"/>
      <c r="L73" s="65"/>
      <c r="M73" s="79" t="s">
        <v>62</v>
      </c>
      <c r="N73" s="68">
        <f>N72+0.035</f>
        <v>0.43779999999999997</v>
      </c>
      <c r="O73" s="75"/>
      <c r="P73" s="64"/>
      <c r="Q73" s="76"/>
      <c r="R73" s="65"/>
      <c r="S73" s="79" t="s">
        <v>62</v>
      </c>
      <c r="T73" s="68">
        <f>T72+0.035</f>
        <v>0.43779999999999997</v>
      </c>
      <c r="U73" s="75"/>
      <c r="V73" s="64"/>
      <c r="W73" s="76"/>
      <c r="X73" s="65"/>
      <c r="Z73" t="s">
        <v>229</v>
      </c>
      <c r="AA73" t="s">
        <v>233</v>
      </c>
    </row>
    <row r="74" spans="1:29" x14ac:dyDescent="0.4">
      <c r="A74" s="66"/>
      <c r="B74" s="69"/>
      <c r="C74" s="111"/>
      <c r="D74" s="112"/>
      <c r="E74" s="113"/>
      <c r="F74" s="115"/>
      <c r="G74" s="93" t="s">
        <v>64</v>
      </c>
      <c r="H74" s="69">
        <f>H73+0.0278</f>
        <v>0.46559999999999996</v>
      </c>
      <c r="I74" s="77"/>
      <c r="J74" s="67"/>
      <c r="K74" s="78"/>
      <c r="L74" s="82"/>
      <c r="M74" s="93" t="s">
        <v>64</v>
      </c>
      <c r="N74" s="69">
        <f>N73+0.0278</f>
        <v>0.46559999999999996</v>
      </c>
      <c r="O74" s="77"/>
      <c r="P74" s="67"/>
      <c r="Q74" s="78"/>
      <c r="R74" s="82"/>
      <c r="S74" s="93" t="s">
        <v>64</v>
      </c>
      <c r="T74" s="69">
        <f>T73+0.0278</f>
        <v>0.46559999999999996</v>
      </c>
      <c r="U74" s="77"/>
      <c r="V74" s="67"/>
      <c r="W74" s="78"/>
      <c r="X74" s="82"/>
      <c r="Z74" t="s">
        <v>230</v>
      </c>
      <c r="AA74" t="s">
        <v>234</v>
      </c>
    </row>
    <row r="75" spans="1:29" ht="3" customHeight="1" x14ac:dyDescent="0.4">
      <c r="A75" s="87"/>
      <c r="B75" s="88"/>
      <c r="C75" s="89"/>
      <c r="D75" s="89"/>
      <c r="E75" s="89"/>
      <c r="F75" s="88"/>
      <c r="G75" s="88"/>
      <c r="H75" s="88"/>
      <c r="I75" s="89"/>
      <c r="J75" s="89"/>
      <c r="K75" s="89"/>
      <c r="L75" s="88"/>
      <c r="M75" s="88"/>
      <c r="N75" s="88"/>
      <c r="O75" s="89"/>
      <c r="P75" s="89"/>
      <c r="Q75" s="89"/>
      <c r="R75" s="88"/>
      <c r="S75" s="88"/>
      <c r="T75" s="88"/>
      <c r="U75" s="89"/>
      <c r="V75" s="89"/>
      <c r="W75" s="89"/>
      <c r="X75" s="90"/>
    </row>
    <row r="76" spans="1:29" x14ac:dyDescent="0.4">
      <c r="B76" s="116"/>
      <c r="C76" s="117"/>
      <c r="D76" s="117"/>
      <c r="E76" s="117"/>
      <c r="F76" s="116"/>
      <c r="G76" s="116"/>
    </row>
  </sheetData>
  <mergeCells count="192">
    <mergeCell ref="U42:X42"/>
    <mergeCell ref="U43:X43"/>
    <mergeCell ref="U44:X44"/>
    <mergeCell ref="U33:X33"/>
    <mergeCell ref="U34:X34"/>
    <mergeCell ref="U32:X32"/>
    <mergeCell ref="U24:X24"/>
    <mergeCell ref="U25:X25"/>
    <mergeCell ref="U26:X26"/>
    <mergeCell ref="U69:X69"/>
    <mergeCell ref="U70:X70"/>
    <mergeCell ref="U68:X68"/>
    <mergeCell ref="U60:X60"/>
    <mergeCell ref="U61:X61"/>
    <mergeCell ref="U62:X62"/>
    <mergeCell ref="U50:X50"/>
    <mergeCell ref="U52:X52"/>
    <mergeCell ref="U51:X51"/>
    <mergeCell ref="A68:B68"/>
    <mergeCell ref="C68:F68"/>
    <mergeCell ref="G68:H68"/>
    <mergeCell ref="I68:L68"/>
    <mergeCell ref="M68:N68"/>
    <mergeCell ref="O68:R68"/>
    <mergeCell ref="S68:T68"/>
    <mergeCell ref="A69:B69"/>
    <mergeCell ref="O70:R70"/>
    <mergeCell ref="S70:T70"/>
    <mergeCell ref="A70:B70"/>
    <mergeCell ref="C70:F70"/>
    <mergeCell ref="G70:H70"/>
    <mergeCell ref="I70:L70"/>
    <mergeCell ref="M70:N70"/>
    <mergeCell ref="C69:F69"/>
    <mergeCell ref="G69:H69"/>
    <mergeCell ref="I69:L69"/>
    <mergeCell ref="M69:N69"/>
    <mergeCell ref="O69:R69"/>
    <mergeCell ref="S69:T69"/>
    <mergeCell ref="S62:T62"/>
    <mergeCell ref="A62:B62"/>
    <mergeCell ref="C62:F62"/>
    <mergeCell ref="G62:H62"/>
    <mergeCell ref="I62:L62"/>
    <mergeCell ref="A61:B61"/>
    <mergeCell ref="C61:F61"/>
    <mergeCell ref="G61:H61"/>
    <mergeCell ref="I61:L61"/>
    <mergeCell ref="M62:N62"/>
    <mergeCell ref="O62:R62"/>
    <mergeCell ref="O61:R61"/>
    <mergeCell ref="S61:T61"/>
    <mergeCell ref="M61:N61"/>
    <mergeCell ref="A51:B51"/>
    <mergeCell ref="C51:F51"/>
    <mergeCell ref="G51:H51"/>
    <mergeCell ref="I51:L51"/>
    <mergeCell ref="M52:N52"/>
    <mergeCell ref="A60:B60"/>
    <mergeCell ref="C60:F60"/>
    <mergeCell ref="G60:H60"/>
    <mergeCell ref="I60:L60"/>
    <mergeCell ref="M60:N60"/>
    <mergeCell ref="A52:B52"/>
    <mergeCell ref="C52:F52"/>
    <mergeCell ref="G52:H52"/>
    <mergeCell ref="I52:L52"/>
    <mergeCell ref="M51:N51"/>
    <mergeCell ref="S60:T60"/>
    <mergeCell ref="O51:R51"/>
    <mergeCell ref="S51:T51"/>
    <mergeCell ref="O60:R60"/>
    <mergeCell ref="O52:R52"/>
    <mergeCell ref="S52:T52"/>
    <mergeCell ref="S44:T44"/>
    <mergeCell ref="A50:B50"/>
    <mergeCell ref="C50:F50"/>
    <mergeCell ref="G50:H50"/>
    <mergeCell ref="I50:L50"/>
    <mergeCell ref="M50:N50"/>
    <mergeCell ref="O50:R50"/>
    <mergeCell ref="S50:T50"/>
    <mergeCell ref="A44:B44"/>
    <mergeCell ref="C44:F44"/>
    <mergeCell ref="G44:H44"/>
    <mergeCell ref="I44:L44"/>
    <mergeCell ref="M44:N44"/>
    <mergeCell ref="O44:R44"/>
    <mergeCell ref="C43:F43"/>
    <mergeCell ref="G43:H43"/>
    <mergeCell ref="I43:L43"/>
    <mergeCell ref="M43:N43"/>
    <mergeCell ref="O43:R43"/>
    <mergeCell ref="S43:T43"/>
    <mergeCell ref="A42:B42"/>
    <mergeCell ref="C42:F42"/>
    <mergeCell ref="G42:H42"/>
    <mergeCell ref="I42:L42"/>
    <mergeCell ref="M42:N42"/>
    <mergeCell ref="O42:R42"/>
    <mergeCell ref="S42:T42"/>
    <mergeCell ref="A43:B43"/>
    <mergeCell ref="A32:B32"/>
    <mergeCell ref="C32:F32"/>
    <mergeCell ref="G32:H32"/>
    <mergeCell ref="I32:L32"/>
    <mergeCell ref="M32:N32"/>
    <mergeCell ref="O32:R32"/>
    <mergeCell ref="S32:T32"/>
    <mergeCell ref="A33:B33"/>
    <mergeCell ref="O34:R34"/>
    <mergeCell ref="S34:T34"/>
    <mergeCell ref="A34:B34"/>
    <mergeCell ref="C34:F34"/>
    <mergeCell ref="G34:H34"/>
    <mergeCell ref="I34:L34"/>
    <mergeCell ref="M34:N34"/>
    <mergeCell ref="C33:F33"/>
    <mergeCell ref="G33:H33"/>
    <mergeCell ref="I33:L33"/>
    <mergeCell ref="M33:N33"/>
    <mergeCell ref="O33:R33"/>
    <mergeCell ref="S33:T33"/>
    <mergeCell ref="C26:F26"/>
    <mergeCell ref="G26:H26"/>
    <mergeCell ref="I26:L26"/>
    <mergeCell ref="M26:N26"/>
    <mergeCell ref="O26:R26"/>
    <mergeCell ref="S26:T26"/>
    <mergeCell ref="A25:B25"/>
    <mergeCell ref="C25:F25"/>
    <mergeCell ref="G25:H25"/>
    <mergeCell ref="I25:L25"/>
    <mergeCell ref="M25:N25"/>
    <mergeCell ref="O25:R25"/>
    <mergeCell ref="S25:T25"/>
    <mergeCell ref="A26:B26"/>
    <mergeCell ref="S24:T24"/>
    <mergeCell ref="A24:B24"/>
    <mergeCell ref="C24:F24"/>
    <mergeCell ref="G24:H24"/>
    <mergeCell ref="C5:F5"/>
    <mergeCell ref="C6:F6"/>
    <mergeCell ref="C7:F7"/>
    <mergeCell ref="A5:B5"/>
    <mergeCell ref="A6:B6"/>
    <mergeCell ref="A7:B7"/>
    <mergeCell ref="A15:B15"/>
    <mergeCell ref="C15:F15"/>
    <mergeCell ref="G5:H5"/>
    <mergeCell ref="I5:L5"/>
    <mergeCell ref="G6:H6"/>
    <mergeCell ref="I6:L6"/>
    <mergeCell ref="A13:B13"/>
    <mergeCell ref="C13:F13"/>
    <mergeCell ref="A14:B14"/>
    <mergeCell ref="C14:F14"/>
    <mergeCell ref="G14:H14"/>
    <mergeCell ref="I14:L14"/>
    <mergeCell ref="G15:H15"/>
    <mergeCell ref="I15:L15"/>
    <mergeCell ref="M15:N15"/>
    <mergeCell ref="I24:L24"/>
    <mergeCell ref="M24:N24"/>
    <mergeCell ref="O13:R13"/>
    <mergeCell ref="M14:N14"/>
    <mergeCell ref="O14:R14"/>
    <mergeCell ref="O15:R15"/>
    <mergeCell ref="O24:R24"/>
    <mergeCell ref="M5:N5"/>
    <mergeCell ref="O5:R5"/>
    <mergeCell ref="M6:N6"/>
    <mergeCell ref="O6:R6"/>
    <mergeCell ref="M7:N7"/>
    <mergeCell ref="O7:R7"/>
    <mergeCell ref="M13:N13"/>
    <mergeCell ref="G7:H7"/>
    <mergeCell ref="I7:L7"/>
    <mergeCell ref="G13:H13"/>
    <mergeCell ref="I13:L13"/>
    <mergeCell ref="U15:X15"/>
    <mergeCell ref="U5:X5"/>
    <mergeCell ref="S6:T6"/>
    <mergeCell ref="U6:X6"/>
    <mergeCell ref="S7:T7"/>
    <mergeCell ref="U7:X7"/>
    <mergeCell ref="S13:T13"/>
    <mergeCell ref="U13:X13"/>
    <mergeCell ref="S14:T14"/>
    <mergeCell ref="U14:X14"/>
    <mergeCell ref="S5:T5"/>
    <mergeCell ref="S15:T15"/>
  </mergeCells>
  <phoneticPr fontId="16"/>
  <pageMargins left="0.78740157480314965" right="0.23622047244094491" top="0.15748031496062992" bottom="0" header="0.31496062992125984" footer="0.31496062992125984"/>
  <pageSetup paperSize="9" scale="6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Y248"/>
  <sheetViews>
    <sheetView zoomScaleNormal="100" zoomScaleSheetLayoutView="75" workbookViewId="0">
      <pane xSplit="46" ySplit="2" topLeftCell="AU3" activePane="bottomRight" state="frozen"/>
      <selection pane="topRight" activeCell="AU1" sqref="AU1"/>
      <selection pane="bottomLeft" activeCell="A3" sqref="A3"/>
      <selection pane="bottomRight" activeCell="AU7" sqref="AU7"/>
    </sheetView>
  </sheetViews>
  <sheetFormatPr defaultRowHeight="15.75" x14ac:dyDescent="0.4"/>
  <cols>
    <col min="1" max="1" width="3.125" style="134" customWidth="1"/>
    <col min="2" max="2" width="5" style="134" customWidth="1"/>
    <col min="3" max="4" width="3.125" style="134" customWidth="1"/>
    <col min="5" max="5" width="4.5" style="134" customWidth="1"/>
    <col min="6" max="43" width="3.125" style="134" customWidth="1"/>
    <col min="44" max="44" width="9.125" style="134" hidden="1" customWidth="1"/>
    <col min="45" max="45" width="7.5" style="134" hidden="1" customWidth="1"/>
    <col min="46" max="46" width="9" style="134" hidden="1" customWidth="1"/>
    <col min="47" max="47" width="9" style="134" customWidth="1"/>
    <col min="48" max="16384" width="9" style="134"/>
  </cols>
  <sheetData>
    <row r="1" spans="1:45" ht="14.25" customHeight="1" x14ac:dyDescent="0.4">
      <c r="A1" s="227"/>
      <c r="B1" s="493" t="str">
        <f>U10組合せ!$B$1</f>
        <v>ＪＦＡ　Ｕ-１０サッカーリーグ2021（in栃木） 宇都宮地区リーグ戦（前期）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0" t="str">
        <f>"【"&amp;(U10組合せ!$D$3)&amp;"】"</f>
        <v>【Ａ ブロック】</v>
      </c>
      <c r="AD1" s="490"/>
      <c r="AE1" s="490"/>
      <c r="AF1" s="490"/>
      <c r="AG1" s="490"/>
      <c r="AH1" s="490"/>
      <c r="AI1" s="490"/>
      <c r="AJ1" s="490"/>
      <c r="AK1" s="495" t="str">
        <f>"第"&amp;(U10組合せ!$D$19)</f>
        <v>第１節</v>
      </c>
      <c r="AL1" s="495"/>
      <c r="AM1" s="495"/>
      <c r="AN1" s="495"/>
      <c r="AO1" s="495"/>
      <c r="AP1" s="496" t="s">
        <v>195</v>
      </c>
      <c r="AQ1" s="497"/>
    </row>
    <row r="2" spans="1:45" ht="22.5" customHeight="1" x14ac:dyDescent="0.4">
      <c r="A2" s="227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4"/>
      <c r="AP2" s="497"/>
      <c r="AQ2" s="497"/>
    </row>
    <row r="3" spans="1:45" ht="27.75" customHeight="1" x14ac:dyDescent="0.4">
      <c r="C3" s="477" t="s">
        <v>1</v>
      </c>
      <c r="D3" s="477"/>
      <c r="E3" s="477"/>
      <c r="F3" s="477"/>
      <c r="G3" s="478" t="str">
        <f>U10組合せ!E19</f>
        <v>清原南小</v>
      </c>
      <c r="H3" s="479"/>
      <c r="I3" s="479"/>
      <c r="J3" s="479"/>
      <c r="K3" s="479"/>
      <c r="L3" s="479"/>
      <c r="M3" s="479"/>
      <c r="N3" s="479"/>
      <c r="O3" s="480"/>
      <c r="P3" s="477" t="s">
        <v>0</v>
      </c>
      <c r="Q3" s="477"/>
      <c r="R3" s="477"/>
      <c r="S3" s="477"/>
      <c r="T3" s="481" t="str">
        <f>S5</f>
        <v>清原シザース</v>
      </c>
      <c r="U3" s="481"/>
      <c r="V3" s="481"/>
      <c r="W3" s="481"/>
      <c r="X3" s="481"/>
      <c r="Y3" s="481"/>
      <c r="Z3" s="481"/>
      <c r="AA3" s="481"/>
      <c r="AB3" s="481"/>
      <c r="AC3" s="477" t="s">
        <v>2</v>
      </c>
      <c r="AD3" s="477"/>
      <c r="AE3" s="477"/>
      <c r="AF3" s="477"/>
      <c r="AG3" s="482">
        <f>U10組合せ!B19</f>
        <v>44296</v>
      </c>
      <c r="AH3" s="483"/>
      <c r="AI3" s="483"/>
      <c r="AJ3" s="483"/>
      <c r="AK3" s="483"/>
      <c r="AL3" s="483"/>
      <c r="AM3" s="484" t="str">
        <f>"（"&amp;TEXT(AG3,"aaa")&amp;"）"</f>
        <v>（土）</v>
      </c>
      <c r="AN3" s="484"/>
      <c r="AO3" s="485"/>
    </row>
    <row r="4" spans="1:45" ht="15" customHeight="1" x14ac:dyDescent="0.4">
      <c r="C4" s="134" t="str">
        <f>U10組合せ!E20</f>
        <v>A1234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3"/>
      <c r="X4" s="133"/>
      <c r="Y4" s="133"/>
      <c r="Z4" s="133"/>
      <c r="AA4" s="133"/>
      <c r="AB4" s="133"/>
      <c r="AC4" s="133"/>
    </row>
    <row r="5" spans="1:45" ht="29.25" customHeight="1" x14ac:dyDescent="0.4">
      <c r="C5" s="481">
        <v>1</v>
      </c>
      <c r="D5" s="481"/>
      <c r="E5" s="488" t="str">
        <f>VLOOKUP(C5,U10組合せ!$B$10:$I$17,3,TRUE)</f>
        <v>富士見SSS</v>
      </c>
      <c r="F5" s="488"/>
      <c r="G5" s="488"/>
      <c r="H5" s="488"/>
      <c r="I5" s="488"/>
      <c r="J5" s="488"/>
      <c r="K5" s="488"/>
      <c r="L5" s="488"/>
      <c r="M5" s="488"/>
      <c r="N5" s="488"/>
      <c r="O5" s="148"/>
      <c r="P5" s="148"/>
      <c r="Q5" s="481">
        <v>4</v>
      </c>
      <c r="R5" s="481"/>
      <c r="S5" s="488" t="str">
        <f>VLOOKUP(Q5,U10組合せ!$B$10:$I$17,3,TRUE)</f>
        <v>清原シザース</v>
      </c>
      <c r="T5" s="488"/>
      <c r="U5" s="488"/>
      <c r="V5" s="488"/>
      <c r="W5" s="488"/>
      <c r="X5" s="488"/>
      <c r="Y5" s="488"/>
      <c r="Z5" s="488"/>
      <c r="AA5" s="488"/>
      <c r="AB5" s="488"/>
      <c r="AC5" s="131"/>
      <c r="AD5" s="132"/>
      <c r="AE5" s="486">
        <v>7</v>
      </c>
      <c r="AF5" s="486"/>
      <c r="AG5" s="487" t="str">
        <f>VLOOKUP(AE5,U10組合せ!$B$10:$I$17,3,TRUE)</f>
        <v>上河内JSC</v>
      </c>
      <c r="AH5" s="487"/>
      <c r="AI5" s="487"/>
      <c r="AJ5" s="487"/>
      <c r="AK5" s="487"/>
      <c r="AL5" s="487"/>
      <c r="AM5" s="487"/>
      <c r="AN5" s="487"/>
      <c r="AO5" s="487"/>
      <c r="AP5" s="487"/>
    </row>
    <row r="6" spans="1:45" ht="29.25" customHeight="1" x14ac:dyDescent="0.4">
      <c r="C6" s="481">
        <v>2</v>
      </c>
      <c r="D6" s="481"/>
      <c r="E6" s="488" t="str">
        <f>VLOOKUP(C6,U10組合せ!$B$10:$I$17,3,TRUE)</f>
        <v>unionscU10</v>
      </c>
      <c r="F6" s="488"/>
      <c r="G6" s="488"/>
      <c r="H6" s="488"/>
      <c r="I6" s="488"/>
      <c r="J6" s="488"/>
      <c r="K6" s="488"/>
      <c r="L6" s="488"/>
      <c r="M6" s="488"/>
      <c r="N6" s="488"/>
      <c r="O6" s="148"/>
      <c r="P6" s="148"/>
      <c r="Q6" s="486">
        <v>5</v>
      </c>
      <c r="R6" s="486"/>
      <c r="S6" s="487" t="str">
        <f>VLOOKUP(Q6,U10組合せ!$B$10:$I$17,3,TRUE)</f>
        <v>サウス宇都宮SC</v>
      </c>
      <c r="T6" s="487"/>
      <c r="U6" s="487"/>
      <c r="V6" s="487"/>
      <c r="W6" s="487"/>
      <c r="X6" s="487"/>
      <c r="Y6" s="487"/>
      <c r="Z6" s="487"/>
      <c r="AA6" s="487"/>
      <c r="AB6" s="487"/>
      <c r="AC6" s="131"/>
      <c r="AD6" s="132"/>
      <c r="AE6" s="486">
        <v>8</v>
      </c>
      <c r="AF6" s="486"/>
      <c r="AG6" s="487" t="str">
        <f>VLOOKUP(AE6,U10組合せ!$B$10:$I$17,3,TRUE)</f>
        <v>FC グランディール</v>
      </c>
      <c r="AH6" s="487"/>
      <c r="AI6" s="487"/>
      <c r="AJ6" s="487"/>
      <c r="AK6" s="487"/>
      <c r="AL6" s="487"/>
      <c r="AM6" s="487"/>
      <c r="AN6" s="487"/>
      <c r="AO6" s="487"/>
      <c r="AP6" s="487"/>
    </row>
    <row r="7" spans="1:45" ht="29.25" customHeight="1" x14ac:dyDescent="0.4">
      <c r="C7" s="481">
        <v>3</v>
      </c>
      <c r="D7" s="481"/>
      <c r="E7" s="488" t="str">
        <f>VLOOKUP(C7,U10組合せ!$B$10:$I$17,3,TRUE)</f>
        <v>ISOSC</v>
      </c>
      <c r="F7" s="488"/>
      <c r="G7" s="488"/>
      <c r="H7" s="488"/>
      <c r="I7" s="488"/>
      <c r="J7" s="488"/>
      <c r="K7" s="488"/>
      <c r="L7" s="488"/>
      <c r="M7" s="488"/>
      <c r="N7" s="488"/>
      <c r="O7" s="148"/>
      <c r="P7" s="148"/>
      <c r="Q7" s="486">
        <v>6</v>
      </c>
      <c r="R7" s="486"/>
      <c r="S7" s="487" t="str">
        <f>VLOOKUP(Q7,U10組合せ!$B$10:$I$17,3,TRUE)</f>
        <v>ともぞうSC U10</v>
      </c>
      <c r="T7" s="487"/>
      <c r="U7" s="487"/>
      <c r="V7" s="487"/>
      <c r="W7" s="487"/>
      <c r="X7" s="487"/>
      <c r="Y7" s="487"/>
      <c r="Z7" s="487"/>
      <c r="AA7" s="487"/>
      <c r="AB7" s="487"/>
      <c r="AC7" s="131"/>
      <c r="AD7" s="132"/>
      <c r="AE7" s="486">
        <v>9</v>
      </c>
      <c r="AF7" s="486"/>
      <c r="AG7" s="487"/>
      <c r="AH7" s="487"/>
      <c r="AI7" s="487"/>
      <c r="AJ7" s="487"/>
      <c r="AK7" s="487"/>
      <c r="AL7" s="487"/>
      <c r="AM7" s="487"/>
      <c r="AN7" s="487"/>
      <c r="AO7" s="487"/>
      <c r="AP7" s="487"/>
    </row>
    <row r="8" spans="1:45" ht="8.25" customHeight="1" x14ac:dyDescent="0.4">
      <c r="O8" s="138"/>
      <c r="P8" s="138"/>
      <c r="AC8" s="133"/>
    </row>
    <row r="9" spans="1:45" ht="8.25" customHeight="1" x14ac:dyDescent="0.4">
      <c r="C9" s="149"/>
      <c r="D9" s="150"/>
      <c r="E9" s="150"/>
      <c r="F9" s="150"/>
      <c r="G9" s="150"/>
      <c r="H9" s="150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50"/>
      <c r="U9" s="138"/>
      <c r="V9" s="150"/>
      <c r="W9" s="138"/>
      <c r="X9" s="150"/>
      <c r="Y9" s="138"/>
      <c r="Z9" s="150"/>
      <c r="AA9" s="138"/>
      <c r="AB9" s="150"/>
      <c r="AC9" s="150"/>
    </row>
    <row r="10" spans="1:45" ht="21" customHeight="1" x14ac:dyDescent="0.4">
      <c r="B10" s="134" t="s">
        <v>181</v>
      </c>
    </row>
    <row r="11" spans="1:45" ht="20.25" customHeight="1" x14ac:dyDescent="0.4">
      <c r="B11" s="135"/>
      <c r="C11" s="469" t="s">
        <v>3</v>
      </c>
      <c r="D11" s="469"/>
      <c r="E11" s="469"/>
      <c r="F11" s="470" t="s">
        <v>4</v>
      </c>
      <c r="G11" s="470"/>
      <c r="H11" s="470"/>
      <c r="I11" s="470"/>
      <c r="J11" s="469" t="s">
        <v>5</v>
      </c>
      <c r="K11" s="471"/>
      <c r="L11" s="471"/>
      <c r="M11" s="471"/>
      <c r="N11" s="471"/>
      <c r="O11" s="471"/>
      <c r="P11" s="471"/>
      <c r="Q11" s="469" t="s">
        <v>40</v>
      </c>
      <c r="R11" s="469"/>
      <c r="S11" s="469"/>
      <c r="T11" s="469"/>
      <c r="U11" s="469"/>
      <c r="V11" s="469"/>
      <c r="W11" s="469"/>
      <c r="X11" s="469" t="s">
        <v>5</v>
      </c>
      <c r="Y11" s="471"/>
      <c r="Z11" s="471"/>
      <c r="AA11" s="471"/>
      <c r="AB11" s="471"/>
      <c r="AC11" s="471"/>
      <c r="AD11" s="471"/>
      <c r="AE11" s="470" t="s">
        <v>4</v>
      </c>
      <c r="AF11" s="470"/>
      <c r="AG11" s="470"/>
      <c r="AH11" s="470"/>
      <c r="AI11" s="469" t="s">
        <v>7</v>
      </c>
      <c r="AJ11" s="469"/>
      <c r="AK11" s="471"/>
      <c r="AL11" s="471"/>
      <c r="AM11" s="471"/>
      <c r="AN11" s="471"/>
      <c r="AO11" s="471"/>
      <c r="AP11" s="471"/>
    </row>
    <row r="12" spans="1:45" ht="20.100000000000001" customHeight="1" x14ac:dyDescent="0.4">
      <c r="B12" s="442" t="str">
        <f ca="1">DBCS(INDIRECT("U10対戦スケジュール!A"&amp;(ROW())/2+2))</f>
        <v>①</v>
      </c>
      <c r="C12" s="461">
        <f ca="1">INDIRECT("U10対戦スケジュール!b"&amp;(ROW())/2+2)</f>
        <v>0.375</v>
      </c>
      <c r="D12" s="462"/>
      <c r="E12" s="463"/>
      <c r="F12" s="449"/>
      <c r="G12" s="449"/>
      <c r="H12" s="449"/>
      <c r="I12" s="449"/>
      <c r="J12" s="467" t="str">
        <f ca="1">VLOOKUP(AR12,U10組合せ!$B$10:$I$17,3,TRUE)</f>
        <v>富士見SSS</v>
      </c>
      <c r="K12" s="468"/>
      <c r="L12" s="468"/>
      <c r="M12" s="468"/>
      <c r="N12" s="468"/>
      <c r="O12" s="468"/>
      <c r="P12" s="468"/>
      <c r="Q12" s="446">
        <f>IF(OR(S12="",S13=""),"",S12+S13)</f>
        <v>0</v>
      </c>
      <c r="R12" s="446"/>
      <c r="S12" s="136">
        <v>0</v>
      </c>
      <c r="T12" s="137" t="s">
        <v>8</v>
      </c>
      <c r="U12" s="136">
        <v>6</v>
      </c>
      <c r="V12" s="446">
        <f>IF(OR(U12="",U13=""),"",U12+U13)</f>
        <v>12</v>
      </c>
      <c r="W12" s="446"/>
      <c r="X12" s="467" t="str">
        <f ca="1">VLOOKUP(AS12,U10組合せ!$B$10:$I$17,3,TRUE)</f>
        <v>unionscU10</v>
      </c>
      <c r="Y12" s="468"/>
      <c r="Z12" s="468"/>
      <c r="AA12" s="468"/>
      <c r="AB12" s="468"/>
      <c r="AC12" s="468"/>
      <c r="AD12" s="468"/>
      <c r="AE12" s="449"/>
      <c r="AF12" s="449"/>
      <c r="AG12" s="449"/>
      <c r="AH12" s="449"/>
      <c r="AI12" s="446" t="str">
        <f ca="1">DBCS(INDIRECT("U10対戦スケジュール!f"&amp;(ROW())/2+2))</f>
        <v>３／４／４／３</v>
      </c>
      <c r="AJ12" s="449" t="str">
        <f t="shared" ref="AJ12:AP18" ca="1" si="0">DBCS(INDIRECT("U10対戦スケジュール!A"&amp;(ROW())/2+2))</f>
        <v>①</v>
      </c>
      <c r="AK12" s="449" t="str">
        <f t="shared" ca="1" si="0"/>
        <v>①</v>
      </c>
      <c r="AL12" s="449" t="str">
        <f t="shared" ca="1" si="0"/>
        <v>①</v>
      </c>
      <c r="AM12" s="449" t="str">
        <f t="shared" ca="1" si="0"/>
        <v>①</v>
      </c>
      <c r="AN12" s="449" t="str">
        <f t="shared" ca="1" si="0"/>
        <v>①</v>
      </c>
      <c r="AO12" s="449" t="str">
        <f t="shared" ca="1" si="0"/>
        <v>①</v>
      </c>
      <c r="AP12" s="449" t="str">
        <f t="shared" ca="1" si="0"/>
        <v>①</v>
      </c>
      <c r="AR12" s="151">
        <f ca="1">VLOOKUP(B12,U10対戦スケジュール!A$8:F$11,3,TRUE)</f>
        <v>1</v>
      </c>
      <c r="AS12" s="151">
        <f ca="1">VLOOKUP(B12,U10対戦スケジュール!A$8:F$11,5)</f>
        <v>2</v>
      </c>
    </row>
    <row r="13" spans="1:45" ht="20.100000000000001" customHeight="1" x14ac:dyDescent="0.4">
      <c r="B13" s="442"/>
      <c r="C13" s="464"/>
      <c r="D13" s="465"/>
      <c r="E13" s="466"/>
      <c r="F13" s="449"/>
      <c r="G13" s="449"/>
      <c r="H13" s="449"/>
      <c r="I13" s="449"/>
      <c r="J13" s="468"/>
      <c r="K13" s="468"/>
      <c r="L13" s="468"/>
      <c r="M13" s="468"/>
      <c r="N13" s="468"/>
      <c r="O13" s="468"/>
      <c r="P13" s="468"/>
      <c r="Q13" s="446"/>
      <c r="R13" s="446"/>
      <c r="S13" s="136">
        <v>0</v>
      </c>
      <c r="T13" s="137" t="s">
        <v>8</v>
      </c>
      <c r="U13" s="136">
        <v>6</v>
      </c>
      <c r="V13" s="446"/>
      <c r="W13" s="446"/>
      <c r="X13" s="468"/>
      <c r="Y13" s="468"/>
      <c r="Z13" s="468"/>
      <c r="AA13" s="468"/>
      <c r="AB13" s="468"/>
      <c r="AC13" s="468"/>
      <c r="AD13" s="468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R13" s="151"/>
      <c r="AS13" s="151"/>
    </row>
    <row r="14" spans="1:45" ht="20.100000000000001" customHeight="1" x14ac:dyDescent="0.4">
      <c r="B14" s="442" t="str">
        <f ca="1">DBCS(INDIRECT("U10対戦スケジュール!A"&amp;(ROW())/2+2))</f>
        <v>②</v>
      </c>
      <c r="C14" s="461">
        <f ca="1">INDIRECT("U10対戦スケジュール!b"&amp;(ROW())/2+2)</f>
        <v>0.40279999999999999</v>
      </c>
      <c r="D14" s="462"/>
      <c r="E14" s="463"/>
      <c r="F14" s="449"/>
      <c r="G14" s="449"/>
      <c r="H14" s="449"/>
      <c r="I14" s="449"/>
      <c r="J14" s="467" t="str">
        <f ca="1">VLOOKUP(AR14,U10組合せ!$B$10:$I$17,3,TRUE)</f>
        <v>ISOSC</v>
      </c>
      <c r="K14" s="468"/>
      <c r="L14" s="468"/>
      <c r="M14" s="468"/>
      <c r="N14" s="468"/>
      <c r="O14" s="468"/>
      <c r="P14" s="468"/>
      <c r="Q14" s="446">
        <f>IF(OR(S14="",S15=""),"",S14+S15)</f>
        <v>3</v>
      </c>
      <c r="R14" s="446"/>
      <c r="S14" s="136">
        <v>1</v>
      </c>
      <c r="T14" s="137" t="s">
        <v>8</v>
      </c>
      <c r="U14" s="136">
        <v>1</v>
      </c>
      <c r="V14" s="446">
        <f>IF(OR(U14="",U15=""),"",U14+U15)</f>
        <v>1</v>
      </c>
      <c r="W14" s="446"/>
      <c r="X14" s="467" t="str">
        <f ca="1">VLOOKUP(AS14,U10組合せ!$B$10:$I$17,3,TRUE)</f>
        <v>清原シザース</v>
      </c>
      <c r="Y14" s="468"/>
      <c r="Z14" s="468"/>
      <c r="AA14" s="468"/>
      <c r="AB14" s="468"/>
      <c r="AC14" s="468"/>
      <c r="AD14" s="468"/>
      <c r="AE14" s="449"/>
      <c r="AF14" s="449"/>
      <c r="AG14" s="449"/>
      <c r="AH14" s="449"/>
      <c r="AI14" s="446" t="str">
        <f ca="1">DBCS(INDIRECT("U10対戦スケジュール!f"&amp;(ROW())/2+2))</f>
        <v>１／２／２／１</v>
      </c>
      <c r="AJ14" s="449" t="str">
        <f t="shared" ca="1" si="0"/>
        <v>②</v>
      </c>
      <c r="AK14" s="449" t="str">
        <f t="shared" ca="1" si="0"/>
        <v>②</v>
      </c>
      <c r="AL14" s="449" t="str">
        <f t="shared" ca="1" si="0"/>
        <v>②</v>
      </c>
      <c r="AM14" s="449" t="str">
        <f t="shared" ca="1" si="0"/>
        <v>②</v>
      </c>
      <c r="AN14" s="449" t="str">
        <f t="shared" ca="1" si="0"/>
        <v>②</v>
      </c>
      <c r="AO14" s="449" t="str">
        <f t="shared" ca="1" si="0"/>
        <v>②</v>
      </c>
      <c r="AP14" s="449" t="str">
        <f t="shared" ca="1" si="0"/>
        <v>②</v>
      </c>
      <c r="AR14" s="151">
        <f ca="1">VLOOKUP(B14,U10対戦スケジュール!A$8:F$11,3,TRUE)</f>
        <v>3</v>
      </c>
      <c r="AS14" s="151">
        <f ca="1">VLOOKUP(B14,U10対戦スケジュール!A$8:F$11,5)</f>
        <v>4</v>
      </c>
    </row>
    <row r="15" spans="1:45" ht="20.100000000000001" customHeight="1" x14ac:dyDescent="0.4">
      <c r="B15" s="442"/>
      <c r="C15" s="464"/>
      <c r="D15" s="465"/>
      <c r="E15" s="466"/>
      <c r="F15" s="449"/>
      <c r="G15" s="449"/>
      <c r="H15" s="449"/>
      <c r="I15" s="449"/>
      <c r="J15" s="468"/>
      <c r="K15" s="468"/>
      <c r="L15" s="468"/>
      <c r="M15" s="468"/>
      <c r="N15" s="468"/>
      <c r="O15" s="468"/>
      <c r="P15" s="468"/>
      <c r="Q15" s="446"/>
      <c r="R15" s="446"/>
      <c r="S15" s="136">
        <v>2</v>
      </c>
      <c r="T15" s="137" t="s">
        <v>8</v>
      </c>
      <c r="U15" s="136">
        <v>0</v>
      </c>
      <c r="V15" s="446"/>
      <c r="W15" s="446"/>
      <c r="X15" s="468"/>
      <c r="Y15" s="468"/>
      <c r="Z15" s="468"/>
      <c r="AA15" s="468"/>
      <c r="AB15" s="468"/>
      <c r="AC15" s="468"/>
      <c r="AD15" s="468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R15" s="151"/>
      <c r="AS15" s="151"/>
    </row>
    <row r="16" spans="1:45" ht="20.100000000000001" customHeight="1" x14ac:dyDescent="0.4">
      <c r="B16" s="442" t="str">
        <f ca="1">DBCS(INDIRECT("U10対戦スケジュール!A"&amp;(ROW())/2+2))</f>
        <v>③</v>
      </c>
      <c r="C16" s="461">
        <f ca="1">INDIRECT("U10対戦スケジュール!b"&amp;(ROW())/2+2)</f>
        <v>0.43779999999999997</v>
      </c>
      <c r="D16" s="462"/>
      <c r="E16" s="463"/>
      <c r="F16" s="449"/>
      <c r="G16" s="449"/>
      <c r="H16" s="449"/>
      <c r="I16" s="449"/>
      <c r="J16" s="467" t="str">
        <f ca="1">VLOOKUP(AR16,U10組合せ!$B$10:$I$17,3,TRUE)</f>
        <v>富士見SSS</v>
      </c>
      <c r="K16" s="468"/>
      <c r="L16" s="468"/>
      <c r="M16" s="468"/>
      <c r="N16" s="468"/>
      <c r="O16" s="468"/>
      <c r="P16" s="468"/>
      <c r="Q16" s="446">
        <f>IF(OR(S16="",S17=""),"",S16+S17)</f>
        <v>0</v>
      </c>
      <c r="R16" s="446"/>
      <c r="S16" s="136">
        <v>0</v>
      </c>
      <c r="T16" s="137" t="s">
        <v>8</v>
      </c>
      <c r="U16" s="136">
        <v>5</v>
      </c>
      <c r="V16" s="446">
        <f>IF(OR(U16="",U17=""),"",U16+U17)</f>
        <v>13</v>
      </c>
      <c r="W16" s="446"/>
      <c r="X16" s="467" t="str">
        <f ca="1">VLOOKUP(AS16,U10組合せ!$B$10:$I$17,3,TRUE)</f>
        <v>清原シザース</v>
      </c>
      <c r="Y16" s="468"/>
      <c r="Z16" s="468"/>
      <c r="AA16" s="468"/>
      <c r="AB16" s="468"/>
      <c r="AC16" s="468"/>
      <c r="AD16" s="468"/>
      <c r="AE16" s="449"/>
      <c r="AF16" s="449"/>
      <c r="AG16" s="449"/>
      <c r="AH16" s="449"/>
      <c r="AI16" s="446" t="str">
        <f ca="1">DBCS(INDIRECT("U10対戦スケジュール!f"&amp;(ROW())/2+2))</f>
        <v>２／３／３／２</v>
      </c>
      <c r="AJ16" s="449" t="str">
        <f t="shared" ca="1" si="0"/>
        <v>③</v>
      </c>
      <c r="AK16" s="449" t="str">
        <f t="shared" ca="1" si="0"/>
        <v>③</v>
      </c>
      <c r="AL16" s="449" t="str">
        <f t="shared" ca="1" si="0"/>
        <v>③</v>
      </c>
      <c r="AM16" s="449" t="str">
        <f t="shared" ca="1" si="0"/>
        <v>③</v>
      </c>
      <c r="AN16" s="449" t="str">
        <f t="shared" ca="1" si="0"/>
        <v>③</v>
      </c>
      <c r="AO16" s="449" t="str">
        <f t="shared" ca="1" si="0"/>
        <v>③</v>
      </c>
      <c r="AP16" s="449" t="str">
        <f t="shared" ca="1" si="0"/>
        <v>③</v>
      </c>
      <c r="AR16" s="151">
        <f ca="1">VLOOKUP(B16,U10対戦スケジュール!A$8:F$11,3,TRUE)</f>
        <v>1</v>
      </c>
      <c r="AS16" s="151">
        <f ca="1">VLOOKUP(B16,U10対戦スケジュール!A$8:F$11,5)</f>
        <v>4</v>
      </c>
    </row>
    <row r="17" spans="1:45" ht="20.100000000000001" customHeight="1" x14ac:dyDescent="0.4">
      <c r="B17" s="442"/>
      <c r="C17" s="464"/>
      <c r="D17" s="465"/>
      <c r="E17" s="466"/>
      <c r="F17" s="449"/>
      <c r="G17" s="449"/>
      <c r="H17" s="449"/>
      <c r="I17" s="449"/>
      <c r="J17" s="468"/>
      <c r="K17" s="468"/>
      <c r="L17" s="468"/>
      <c r="M17" s="468"/>
      <c r="N17" s="468"/>
      <c r="O17" s="468"/>
      <c r="P17" s="468"/>
      <c r="Q17" s="446"/>
      <c r="R17" s="446"/>
      <c r="S17" s="136">
        <v>0</v>
      </c>
      <c r="T17" s="137" t="s">
        <v>8</v>
      </c>
      <c r="U17" s="136">
        <v>8</v>
      </c>
      <c r="V17" s="446"/>
      <c r="W17" s="446"/>
      <c r="X17" s="468"/>
      <c r="Y17" s="468"/>
      <c r="Z17" s="468"/>
      <c r="AA17" s="468"/>
      <c r="AB17" s="468"/>
      <c r="AC17" s="468"/>
      <c r="AD17" s="468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R17" s="151"/>
      <c r="AS17" s="151"/>
    </row>
    <row r="18" spans="1:45" ht="20.100000000000001" customHeight="1" x14ac:dyDescent="0.4">
      <c r="B18" s="442" t="str">
        <f ca="1">DBCS(INDIRECT("U10対戦スケジュール!A"&amp;(ROW())/2+2))</f>
        <v>④</v>
      </c>
      <c r="C18" s="461">
        <f ca="1">INDIRECT("U10対戦スケジュール!b"&amp;(ROW())/2+2)</f>
        <v>0.46559999999999996</v>
      </c>
      <c r="D18" s="462"/>
      <c r="E18" s="463"/>
      <c r="F18" s="449"/>
      <c r="G18" s="449"/>
      <c r="H18" s="449"/>
      <c r="I18" s="449"/>
      <c r="J18" s="467" t="str">
        <f ca="1">VLOOKUP(AR18,U10組合せ!$B$10:$I$17,3,TRUE)</f>
        <v>ISOSC</v>
      </c>
      <c r="K18" s="468"/>
      <c r="L18" s="468"/>
      <c r="M18" s="468"/>
      <c r="N18" s="468"/>
      <c r="O18" s="468"/>
      <c r="P18" s="468"/>
      <c r="Q18" s="446">
        <f>IF(OR(S18="",S19=""),"",S18+S19)</f>
        <v>0</v>
      </c>
      <c r="R18" s="446"/>
      <c r="S18" s="136">
        <v>0</v>
      </c>
      <c r="T18" s="137" t="s">
        <v>8</v>
      </c>
      <c r="U18" s="136">
        <v>2</v>
      </c>
      <c r="V18" s="446">
        <f>IF(OR(U18="",U19=""),"",U18+U19)</f>
        <v>3</v>
      </c>
      <c r="W18" s="446"/>
      <c r="X18" s="467" t="str">
        <f ca="1">VLOOKUP(AS18,U10組合せ!$B$10:$I$17,3,TRUE)</f>
        <v>unionscU10</v>
      </c>
      <c r="Y18" s="468"/>
      <c r="Z18" s="468"/>
      <c r="AA18" s="468"/>
      <c r="AB18" s="468"/>
      <c r="AC18" s="468"/>
      <c r="AD18" s="468"/>
      <c r="AE18" s="449"/>
      <c r="AF18" s="449"/>
      <c r="AG18" s="449"/>
      <c r="AH18" s="449"/>
      <c r="AI18" s="446" t="str">
        <f ca="1">DBCS(INDIRECT("U10対戦スケジュール!f"&amp;(ROW())/2+2))</f>
        <v>４／１／１／４</v>
      </c>
      <c r="AJ18" s="449" t="str">
        <f t="shared" ca="1" si="0"/>
        <v>④</v>
      </c>
      <c r="AK18" s="449" t="str">
        <f t="shared" ca="1" si="0"/>
        <v>④</v>
      </c>
      <c r="AL18" s="449" t="str">
        <f t="shared" ca="1" si="0"/>
        <v>④</v>
      </c>
      <c r="AM18" s="449" t="str">
        <f t="shared" ca="1" si="0"/>
        <v>④</v>
      </c>
      <c r="AN18" s="449" t="str">
        <f t="shared" ca="1" si="0"/>
        <v>④</v>
      </c>
      <c r="AO18" s="449" t="str">
        <f t="shared" ca="1" si="0"/>
        <v>④</v>
      </c>
      <c r="AP18" s="449" t="str">
        <f t="shared" ca="1" si="0"/>
        <v>④</v>
      </c>
      <c r="AR18" s="151">
        <f ca="1">VLOOKUP(B18,U10対戦スケジュール!A$8:F$11,3,TRUE)</f>
        <v>3</v>
      </c>
      <c r="AS18" s="151">
        <f ca="1">VLOOKUP(B18,U10対戦スケジュール!A$8:F$11,5)</f>
        <v>2</v>
      </c>
    </row>
    <row r="19" spans="1:45" ht="20.100000000000001" customHeight="1" x14ac:dyDescent="0.4">
      <c r="B19" s="442"/>
      <c r="C19" s="464"/>
      <c r="D19" s="465"/>
      <c r="E19" s="466"/>
      <c r="F19" s="449"/>
      <c r="G19" s="449"/>
      <c r="H19" s="449"/>
      <c r="I19" s="449"/>
      <c r="J19" s="468"/>
      <c r="K19" s="468"/>
      <c r="L19" s="468"/>
      <c r="M19" s="468"/>
      <c r="N19" s="468"/>
      <c r="O19" s="468"/>
      <c r="P19" s="468"/>
      <c r="Q19" s="446"/>
      <c r="R19" s="446"/>
      <c r="S19" s="136">
        <v>0</v>
      </c>
      <c r="T19" s="137" t="s">
        <v>8</v>
      </c>
      <c r="U19" s="136">
        <v>1</v>
      </c>
      <c r="V19" s="446"/>
      <c r="W19" s="446"/>
      <c r="X19" s="468"/>
      <c r="Y19" s="468"/>
      <c r="Z19" s="468"/>
      <c r="AA19" s="468"/>
      <c r="AB19" s="468"/>
      <c r="AC19" s="468"/>
      <c r="AD19" s="468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R19" s="151"/>
      <c r="AS19" s="151"/>
    </row>
    <row r="20" spans="1:45" ht="20.100000000000001" customHeight="1" x14ac:dyDescent="0.4">
      <c r="B20" s="442" t="str">
        <f ca="1">DBCS(INDIRECT("U10対戦スケジュール!A"&amp;(ROW())/2+2))</f>
        <v/>
      </c>
      <c r="C20" s="450"/>
      <c r="D20" s="450"/>
      <c r="E20" s="450"/>
      <c r="F20" s="449"/>
      <c r="G20" s="449"/>
      <c r="H20" s="449"/>
      <c r="I20" s="449"/>
      <c r="J20" s="447"/>
      <c r="K20" s="448"/>
      <c r="L20" s="448"/>
      <c r="M20" s="448"/>
      <c r="N20" s="448"/>
      <c r="O20" s="448"/>
      <c r="P20" s="448"/>
      <c r="Q20" s="446"/>
      <c r="R20" s="446"/>
      <c r="S20" s="136"/>
      <c r="T20" s="137"/>
      <c r="U20" s="136"/>
      <c r="V20" s="446"/>
      <c r="W20" s="446"/>
      <c r="X20" s="447"/>
      <c r="Y20" s="448"/>
      <c r="Z20" s="448"/>
      <c r="AA20" s="448"/>
      <c r="AB20" s="448"/>
      <c r="AC20" s="448"/>
      <c r="AD20" s="448"/>
      <c r="AE20" s="449"/>
      <c r="AF20" s="449"/>
      <c r="AG20" s="449"/>
      <c r="AH20" s="449"/>
      <c r="AI20" s="446"/>
      <c r="AJ20" s="449"/>
      <c r="AK20" s="449"/>
      <c r="AL20" s="449"/>
      <c r="AM20" s="449"/>
      <c r="AN20" s="449"/>
      <c r="AO20" s="449"/>
      <c r="AP20" s="449"/>
      <c r="AR20" s="151"/>
      <c r="AS20" s="151"/>
    </row>
    <row r="21" spans="1:45" ht="20.100000000000001" customHeight="1" x14ac:dyDescent="0.4">
      <c r="B21" s="442"/>
      <c r="C21" s="450"/>
      <c r="D21" s="450"/>
      <c r="E21" s="450"/>
      <c r="F21" s="449"/>
      <c r="G21" s="449"/>
      <c r="H21" s="449"/>
      <c r="I21" s="449"/>
      <c r="J21" s="448"/>
      <c r="K21" s="448"/>
      <c r="L21" s="448"/>
      <c r="M21" s="448"/>
      <c r="N21" s="448"/>
      <c r="O21" s="448"/>
      <c r="P21" s="448"/>
      <c r="Q21" s="446"/>
      <c r="R21" s="446"/>
      <c r="S21" s="136"/>
      <c r="T21" s="137"/>
      <c r="U21" s="136"/>
      <c r="V21" s="446"/>
      <c r="W21" s="446"/>
      <c r="X21" s="448"/>
      <c r="Y21" s="448"/>
      <c r="Z21" s="448"/>
      <c r="AA21" s="448"/>
      <c r="AB21" s="448"/>
      <c r="AC21" s="448"/>
      <c r="AD21" s="448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R21" s="151"/>
      <c r="AS21" s="151"/>
    </row>
    <row r="22" spans="1:45" ht="20.100000000000001" customHeight="1" x14ac:dyDescent="0.4">
      <c r="B22" s="442"/>
      <c r="C22" s="450"/>
      <c r="D22" s="450"/>
      <c r="E22" s="450"/>
      <c r="F22" s="449"/>
      <c r="G22" s="449"/>
      <c r="H22" s="449"/>
      <c r="I22" s="449"/>
      <c r="J22" s="447"/>
      <c r="K22" s="448"/>
      <c r="L22" s="448"/>
      <c r="M22" s="448"/>
      <c r="N22" s="448"/>
      <c r="O22" s="448"/>
      <c r="P22" s="448"/>
      <c r="Q22" s="446"/>
      <c r="R22" s="446"/>
      <c r="S22" s="136"/>
      <c r="T22" s="137"/>
      <c r="U22" s="136"/>
      <c r="V22" s="446"/>
      <c r="W22" s="446"/>
      <c r="X22" s="447"/>
      <c r="Y22" s="448"/>
      <c r="Z22" s="448"/>
      <c r="AA22" s="448"/>
      <c r="AB22" s="448"/>
      <c r="AC22" s="448"/>
      <c r="AD22" s="448"/>
      <c r="AE22" s="449"/>
      <c r="AF22" s="449"/>
      <c r="AG22" s="449"/>
      <c r="AH22" s="449"/>
      <c r="AI22" s="446"/>
      <c r="AJ22" s="449"/>
      <c r="AK22" s="449"/>
      <c r="AL22" s="449"/>
      <c r="AM22" s="449"/>
      <c r="AN22" s="449"/>
      <c r="AO22" s="449"/>
      <c r="AP22" s="449"/>
      <c r="AR22" s="151"/>
      <c r="AS22" s="151"/>
    </row>
    <row r="23" spans="1:45" ht="20.100000000000001" customHeight="1" x14ac:dyDescent="0.4">
      <c r="B23" s="442"/>
      <c r="C23" s="450"/>
      <c r="D23" s="450"/>
      <c r="E23" s="450"/>
      <c r="F23" s="449"/>
      <c r="G23" s="449"/>
      <c r="H23" s="449"/>
      <c r="I23" s="449"/>
      <c r="J23" s="448"/>
      <c r="K23" s="448"/>
      <c r="L23" s="448"/>
      <c r="M23" s="448"/>
      <c r="N23" s="448"/>
      <c r="O23" s="448"/>
      <c r="P23" s="448"/>
      <c r="Q23" s="446"/>
      <c r="R23" s="446"/>
      <c r="S23" s="136"/>
      <c r="T23" s="137"/>
      <c r="U23" s="136"/>
      <c r="V23" s="446"/>
      <c r="W23" s="446"/>
      <c r="X23" s="448"/>
      <c r="Y23" s="448"/>
      <c r="Z23" s="448"/>
      <c r="AA23" s="448"/>
      <c r="AB23" s="448"/>
      <c r="AC23" s="448"/>
      <c r="AD23" s="448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R23" s="151"/>
      <c r="AS23" s="151"/>
    </row>
    <row r="24" spans="1:45" ht="20.100000000000001" customHeight="1" x14ac:dyDescent="0.4">
      <c r="B24" s="442"/>
      <c r="C24" s="450"/>
      <c r="D24" s="450"/>
      <c r="E24" s="450"/>
      <c r="F24" s="449"/>
      <c r="G24" s="449"/>
      <c r="H24" s="449"/>
      <c r="I24" s="449"/>
      <c r="J24" s="447"/>
      <c r="K24" s="448"/>
      <c r="L24" s="448"/>
      <c r="M24" s="448"/>
      <c r="N24" s="448"/>
      <c r="O24" s="448"/>
      <c r="P24" s="448"/>
      <c r="Q24" s="446"/>
      <c r="R24" s="446"/>
      <c r="S24" s="136"/>
      <c r="T24" s="137"/>
      <c r="U24" s="136"/>
      <c r="V24" s="446"/>
      <c r="W24" s="446"/>
      <c r="X24" s="447"/>
      <c r="Y24" s="448"/>
      <c r="Z24" s="448"/>
      <c r="AA24" s="448"/>
      <c r="AB24" s="448"/>
      <c r="AC24" s="448"/>
      <c r="AD24" s="448"/>
      <c r="AE24" s="449"/>
      <c r="AF24" s="449"/>
      <c r="AG24" s="449"/>
      <c r="AH24" s="449"/>
      <c r="AI24" s="446"/>
      <c r="AJ24" s="449"/>
      <c r="AK24" s="449"/>
      <c r="AL24" s="449"/>
      <c r="AM24" s="449"/>
      <c r="AN24" s="449"/>
      <c r="AO24" s="449"/>
      <c r="AP24" s="449"/>
      <c r="AR24" s="151"/>
      <c r="AS24" s="151"/>
    </row>
    <row r="25" spans="1:45" ht="20.100000000000001" customHeight="1" x14ac:dyDescent="0.4">
      <c r="B25" s="442"/>
      <c r="C25" s="450"/>
      <c r="D25" s="450"/>
      <c r="E25" s="450"/>
      <c r="F25" s="449"/>
      <c r="G25" s="449"/>
      <c r="H25" s="449"/>
      <c r="I25" s="449"/>
      <c r="J25" s="448"/>
      <c r="K25" s="448"/>
      <c r="L25" s="448"/>
      <c r="M25" s="448"/>
      <c r="N25" s="448"/>
      <c r="O25" s="448"/>
      <c r="P25" s="448"/>
      <c r="Q25" s="446"/>
      <c r="R25" s="446"/>
      <c r="S25" s="136"/>
      <c r="T25" s="137"/>
      <c r="U25" s="136"/>
      <c r="V25" s="446"/>
      <c r="W25" s="446"/>
      <c r="X25" s="448"/>
      <c r="Y25" s="448"/>
      <c r="Z25" s="448"/>
      <c r="AA25" s="448"/>
      <c r="AB25" s="448"/>
      <c r="AC25" s="448"/>
      <c r="AD25" s="448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</row>
    <row r="26" spans="1:45" ht="15.75" customHeight="1" x14ac:dyDescent="0.4">
      <c r="A26" s="138"/>
      <c r="B26" s="139"/>
      <c r="C26" s="140"/>
      <c r="D26" s="140"/>
      <c r="E26" s="140"/>
      <c r="F26" s="139"/>
      <c r="G26" s="139"/>
      <c r="H26" s="139"/>
      <c r="I26" s="139"/>
      <c r="J26" s="139"/>
      <c r="K26" s="141"/>
      <c r="L26" s="141"/>
      <c r="M26" s="142"/>
      <c r="N26" s="143"/>
      <c r="O26" s="142"/>
      <c r="P26" s="141"/>
      <c r="Q26" s="141"/>
      <c r="R26" s="139"/>
      <c r="S26" s="139"/>
      <c r="T26" s="139"/>
      <c r="U26" s="139"/>
      <c r="V26" s="139"/>
      <c r="W26" s="144"/>
      <c r="X26" s="144"/>
      <c r="Y26" s="144"/>
      <c r="Z26" s="144"/>
      <c r="AA26" s="144"/>
      <c r="AB26" s="144"/>
      <c r="AC26" s="138"/>
    </row>
    <row r="27" spans="1:45" ht="20.25" customHeight="1" x14ac:dyDescent="0.4">
      <c r="D27" s="442" t="s">
        <v>9</v>
      </c>
      <c r="E27" s="442"/>
      <c r="F27" s="442"/>
      <c r="G27" s="442"/>
      <c r="H27" s="442"/>
      <c r="I27" s="442"/>
      <c r="J27" s="442" t="s">
        <v>5</v>
      </c>
      <c r="K27" s="442"/>
      <c r="L27" s="442"/>
      <c r="M27" s="442"/>
      <c r="N27" s="442"/>
      <c r="O27" s="442"/>
      <c r="P27" s="442"/>
      <c r="Q27" s="442"/>
      <c r="R27" s="443" t="s">
        <v>10</v>
      </c>
      <c r="S27" s="443"/>
      <c r="T27" s="443"/>
      <c r="U27" s="443"/>
      <c r="V27" s="443"/>
      <c r="W27" s="443"/>
      <c r="X27" s="443"/>
      <c r="Y27" s="443"/>
      <c r="Z27" s="443"/>
      <c r="AA27" s="444" t="s">
        <v>11</v>
      </c>
      <c r="AB27" s="444"/>
      <c r="AC27" s="444"/>
      <c r="AD27" s="444" t="s">
        <v>12</v>
      </c>
      <c r="AE27" s="444"/>
      <c r="AF27" s="444"/>
      <c r="AG27" s="444"/>
      <c r="AH27" s="444"/>
      <c r="AI27" s="444"/>
      <c r="AJ27" s="444"/>
      <c r="AK27" s="444"/>
      <c r="AL27" s="444"/>
      <c r="AM27" s="444"/>
    </row>
    <row r="28" spans="1:45" ht="30" customHeight="1" x14ac:dyDescent="0.4">
      <c r="D28" s="442" t="s">
        <v>13</v>
      </c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  <c r="S28" s="443"/>
      <c r="T28" s="443"/>
      <c r="U28" s="443"/>
      <c r="V28" s="443"/>
      <c r="W28" s="443"/>
      <c r="X28" s="443"/>
      <c r="Y28" s="443"/>
      <c r="Z28" s="443"/>
      <c r="AA28" s="445"/>
      <c r="AB28" s="445"/>
      <c r="AC28" s="445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</row>
    <row r="29" spans="1:45" ht="30" customHeight="1" x14ac:dyDescent="0.4">
      <c r="D29" s="442" t="s">
        <v>13</v>
      </c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3"/>
      <c r="S29" s="443"/>
      <c r="T29" s="443"/>
      <c r="U29" s="443"/>
      <c r="V29" s="443"/>
      <c r="W29" s="443"/>
      <c r="X29" s="443"/>
      <c r="Y29" s="443"/>
      <c r="Z29" s="443"/>
      <c r="AA29" s="444"/>
      <c r="AB29" s="444"/>
      <c r="AC29" s="444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</row>
    <row r="30" spans="1:45" ht="30" customHeight="1" x14ac:dyDescent="0.4">
      <c r="D30" s="442" t="s">
        <v>13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443"/>
      <c r="T30" s="443"/>
      <c r="U30" s="443"/>
      <c r="V30" s="443"/>
      <c r="W30" s="443"/>
      <c r="X30" s="443"/>
      <c r="Y30" s="443"/>
      <c r="Z30" s="443"/>
      <c r="AA30" s="444"/>
      <c r="AB30" s="444"/>
      <c r="AC30" s="444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</row>
    <row r="31" spans="1:45" ht="14.25" customHeight="1" x14ac:dyDescent="0.4">
      <c r="A31" s="476" t="s">
        <v>178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274"/>
      <c r="AS31" s="274"/>
    </row>
    <row r="32" spans="1:45" ht="14.25" customHeight="1" x14ac:dyDescent="0.4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274"/>
      <c r="AS32" s="274"/>
    </row>
    <row r="33" spans="1:51" ht="14.25" customHeight="1" x14ac:dyDescent="0.4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</row>
    <row r="34" spans="1:51" ht="27.75" customHeight="1" x14ac:dyDescent="0.4">
      <c r="C34" s="477" t="s">
        <v>1</v>
      </c>
      <c r="D34" s="477"/>
      <c r="E34" s="477"/>
      <c r="F34" s="477"/>
      <c r="G34" s="478" t="str">
        <f>U10組合せ!E21</f>
        <v>上河内西小</v>
      </c>
      <c r="H34" s="479"/>
      <c r="I34" s="479"/>
      <c r="J34" s="479"/>
      <c r="K34" s="479"/>
      <c r="L34" s="479"/>
      <c r="M34" s="479"/>
      <c r="N34" s="479"/>
      <c r="O34" s="480"/>
      <c r="P34" s="477" t="s">
        <v>0</v>
      </c>
      <c r="Q34" s="477"/>
      <c r="R34" s="477"/>
      <c r="S34" s="477"/>
      <c r="T34" s="481" t="str">
        <f>AG36</f>
        <v>上河内JSC</v>
      </c>
      <c r="U34" s="481"/>
      <c r="V34" s="481"/>
      <c r="W34" s="481"/>
      <c r="X34" s="481"/>
      <c r="Y34" s="481"/>
      <c r="Z34" s="481"/>
      <c r="AA34" s="481"/>
      <c r="AB34" s="481"/>
      <c r="AC34" s="477" t="s">
        <v>2</v>
      </c>
      <c r="AD34" s="477"/>
      <c r="AE34" s="477"/>
      <c r="AF34" s="477"/>
      <c r="AG34" s="482">
        <f>U10組合せ!B19</f>
        <v>44296</v>
      </c>
      <c r="AH34" s="483"/>
      <c r="AI34" s="483"/>
      <c r="AJ34" s="483"/>
      <c r="AK34" s="483"/>
      <c r="AL34" s="483"/>
      <c r="AM34" s="484" t="str">
        <f>"（"&amp;TEXT(AG34,"aaa")&amp;"）"</f>
        <v>（土）</v>
      </c>
      <c r="AN34" s="484"/>
      <c r="AO34" s="485"/>
    </row>
    <row r="35" spans="1:51" ht="15" customHeight="1" x14ac:dyDescent="0.4">
      <c r="C35" s="134" t="str">
        <f>U10組合せ!E22</f>
        <v>A5678</v>
      </c>
      <c r="D35" s="138"/>
      <c r="E35" s="138"/>
      <c r="F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3"/>
      <c r="X35" s="133"/>
      <c r="Y35" s="133"/>
      <c r="Z35" s="133"/>
      <c r="AA35" s="133"/>
      <c r="AB35" s="133"/>
      <c r="AC35" s="133"/>
    </row>
    <row r="36" spans="1:51" s="152" customFormat="1" ht="29.25" customHeight="1" x14ac:dyDescent="0.4">
      <c r="C36" s="472">
        <v>1</v>
      </c>
      <c r="D36" s="472"/>
      <c r="E36" s="473" t="str">
        <f>VLOOKUP(C36,U10組合せ!$B$10:$I$17,3,TRUE)</f>
        <v>富士見SSS</v>
      </c>
      <c r="F36" s="473"/>
      <c r="G36" s="473"/>
      <c r="H36" s="473"/>
      <c r="I36" s="473"/>
      <c r="J36" s="473"/>
      <c r="K36" s="473"/>
      <c r="L36" s="473"/>
      <c r="M36" s="473"/>
      <c r="N36" s="473"/>
      <c r="O36" s="153"/>
      <c r="P36" s="153"/>
      <c r="Q36" s="472">
        <v>4</v>
      </c>
      <c r="R36" s="472"/>
      <c r="S36" s="473" t="str">
        <f>VLOOKUP(Q36,U10組合せ!$B$10:$I$17,3,TRUE)</f>
        <v>清原シザース</v>
      </c>
      <c r="T36" s="473"/>
      <c r="U36" s="473"/>
      <c r="V36" s="473"/>
      <c r="W36" s="473"/>
      <c r="X36" s="473"/>
      <c r="Y36" s="473"/>
      <c r="Z36" s="473"/>
      <c r="AA36" s="473"/>
      <c r="AB36" s="473"/>
      <c r="AC36" s="145"/>
      <c r="AD36" s="146"/>
      <c r="AE36" s="474">
        <v>7</v>
      </c>
      <c r="AF36" s="474"/>
      <c r="AG36" s="475" t="str">
        <f>VLOOKUP(AE36,U10組合せ!$B$10:$I$17,3,TRUE)</f>
        <v>上河内JSC</v>
      </c>
      <c r="AH36" s="475"/>
      <c r="AI36" s="475"/>
      <c r="AJ36" s="475"/>
      <c r="AK36" s="475"/>
      <c r="AL36" s="475"/>
      <c r="AM36" s="475"/>
      <c r="AN36" s="475"/>
      <c r="AO36" s="475"/>
      <c r="AP36" s="475"/>
    </row>
    <row r="37" spans="1:51" s="152" customFormat="1" ht="29.25" customHeight="1" x14ac:dyDescent="0.4">
      <c r="C37" s="472">
        <v>2</v>
      </c>
      <c r="D37" s="472"/>
      <c r="E37" s="473" t="str">
        <f>VLOOKUP(C37,U10組合せ!$B$10:$I$17,3,TRUE)</f>
        <v>unionscU10</v>
      </c>
      <c r="F37" s="473"/>
      <c r="G37" s="473"/>
      <c r="H37" s="473"/>
      <c r="I37" s="473"/>
      <c r="J37" s="473"/>
      <c r="K37" s="473"/>
      <c r="L37" s="473"/>
      <c r="M37" s="473"/>
      <c r="N37" s="473"/>
      <c r="O37" s="153"/>
      <c r="P37" s="153"/>
      <c r="Q37" s="474">
        <v>5</v>
      </c>
      <c r="R37" s="474"/>
      <c r="S37" s="475" t="str">
        <f>VLOOKUP(Q37,U10組合せ!$B$10:$I$17,3,TRUE)</f>
        <v>サウス宇都宮SC</v>
      </c>
      <c r="T37" s="475"/>
      <c r="U37" s="475"/>
      <c r="V37" s="475"/>
      <c r="W37" s="475"/>
      <c r="X37" s="475"/>
      <c r="Y37" s="475"/>
      <c r="Z37" s="475"/>
      <c r="AA37" s="475"/>
      <c r="AB37" s="475"/>
      <c r="AC37" s="145"/>
      <c r="AD37" s="146"/>
      <c r="AE37" s="474">
        <v>8</v>
      </c>
      <c r="AF37" s="474"/>
      <c r="AG37" s="475" t="str">
        <f>VLOOKUP(AE37,U10組合せ!$B$10:$I$17,3,TRUE)</f>
        <v>FC グランディール</v>
      </c>
      <c r="AH37" s="475"/>
      <c r="AI37" s="475"/>
      <c r="AJ37" s="475"/>
      <c r="AK37" s="475"/>
      <c r="AL37" s="475"/>
      <c r="AM37" s="475"/>
      <c r="AN37" s="475"/>
      <c r="AO37" s="475"/>
      <c r="AP37" s="475"/>
    </row>
    <row r="38" spans="1:51" s="152" customFormat="1" ht="29.25" customHeight="1" x14ac:dyDescent="0.4">
      <c r="C38" s="472">
        <v>3</v>
      </c>
      <c r="D38" s="472"/>
      <c r="E38" s="473" t="str">
        <f>VLOOKUP(C38,U10組合せ!$B$10:$I$17,3,TRUE)</f>
        <v>ISOSC</v>
      </c>
      <c r="F38" s="473"/>
      <c r="G38" s="473"/>
      <c r="H38" s="473"/>
      <c r="I38" s="473"/>
      <c r="J38" s="473"/>
      <c r="K38" s="473"/>
      <c r="L38" s="473"/>
      <c r="M38" s="473"/>
      <c r="N38" s="473"/>
      <c r="O38" s="153"/>
      <c r="P38" s="153"/>
      <c r="Q38" s="474">
        <v>6</v>
      </c>
      <c r="R38" s="474"/>
      <c r="S38" s="475" t="str">
        <f>VLOOKUP(Q38,U10組合せ!$B$10:$I$17,3,TRUE)</f>
        <v>ともぞうSC U10</v>
      </c>
      <c r="T38" s="475"/>
      <c r="U38" s="475"/>
      <c r="V38" s="475"/>
      <c r="W38" s="475"/>
      <c r="X38" s="475"/>
      <c r="Y38" s="475"/>
      <c r="Z38" s="475"/>
      <c r="AA38" s="475"/>
      <c r="AB38" s="475"/>
      <c r="AC38" s="145"/>
      <c r="AD38" s="146"/>
      <c r="AE38" s="472">
        <v>9</v>
      </c>
      <c r="AF38" s="472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</row>
    <row r="39" spans="1:51" ht="6.75" customHeight="1" x14ac:dyDescent="0.4">
      <c r="O39" s="138"/>
      <c r="P39" s="138"/>
      <c r="AC39" s="133"/>
    </row>
    <row r="40" spans="1:51" ht="6.75" customHeight="1" x14ac:dyDescent="0.4">
      <c r="C40" s="149"/>
      <c r="D40" s="150"/>
      <c r="E40" s="150"/>
      <c r="F40" s="150"/>
      <c r="G40" s="150"/>
      <c r="H40" s="150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50"/>
      <c r="U40" s="138"/>
      <c r="V40" s="150"/>
      <c r="W40" s="138"/>
      <c r="X40" s="150"/>
      <c r="Y40" s="138"/>
      <c r="Z40" s="150"/>
      <c r="AA40" s="138"/>
      <c r="AB40" s="150"/>
      <c r="AC40" s="150"/>
    </row>
    <row r="41" spans="1:51" ht="21" customHeight="1" x14ac:dyDescent="0.4">
      <c r="B41" s="134" t="s">
        <v>181</v>
      </c>
    </row>
    <row r="42" spans="1:51" ht="20.25" customHeight="1" x14ac:dyDescent="0.4">
      <c r="B42" s="135"/>
      <c r="C42" s="469" t="s">
        <v>3</v>
      </c>
      <c r="D42" s="469"/>
      <c r="E42" s="469"/>
      <c r="F42" s="470" t="s">
        <v>4</v>
      </c>
      <c r="G42" s="470"/>
      <c r="H42" s="470"/>
      <c r="I42" s="470"/>
      <c r="J42" s="469" t="s">
        <v>5</v>
      </c>
      <c r="K42" s="471"/>
      <c r="L42" s="471"/>
      <c r="M42" s="471"/>
      <c r="N42" s="471"/>
      <c r="O42" s="471"/>
      <c r="P42" s="471"/>
      <c r="Q42" s="469" t="s">
        <v>40</v>
      </c>
      <c r="R42" s="469"/>
      <c r="S42" s="469"/>
      <c r="T42" s="469"/>
      <c r="U42" s="469"/>
      <c r="V42" s="469"/>
      <c r="W42" s="469"/>
      <c r="X42" s="469" t="s">
        <v>5</v>
      </c>
      <c r="Y42" s="471"/>
      <c r="Z42" s="471"/>
      <c r="AA42" s="471"/>
      <c r="AB42" s="471"/>
      <c r="AC42" s="471"/>
      <c r="AD42" s="471"/>
      <c r="AE42" s="470" t="s">
        <v>4</v>
      </c>
      <c r="AF42" s="470"/>
      <c r="AG42" s="470"/>
      <c r="AH42" s="470"/>
      <c r="AI42" s="469" t="s">
        <v>7</v>
      </c>
      <c r="AJ42" s="469"/>
      <c r="AK42" s="471"/>
      <c r="AL42" s="471"/>
      <c r="AM42" s="471"/>
      <c r="AN42" s="471"/>
      <c r="AO42" s="471"/>
      <c r="AP42" s="471"/>
    </row>
    <row r="43" spans="1:51" ht="20.100000000000001" customHeight="1" x14ac:dyDescent="0.4">
      <c r="B43" s="442" t="str">
        <f ca="1">DBCS(INDIRECT("U10対戦スケジュール!A"&amp;(ROW()-1)/2-5))</f>
        <v>①</v>
      </c>
      <c r="C43" s="461">
        <f ca="1">INDIRECT("U10対戦スケジュール!b"&amp;(ROW()-1)/2-5)</f>
        <v>0.375</v>
      </c>
      <c r="D43" s="462"/>
      <c r="E43" s="463"/>
      <c r="F43" s="449"/>
      <c r="G43" s="449"/>
      <c r="H43" s="449"/>
      <c r="I43" s="449"/>
      <c r="J43" s="467" t="str">
        <f ca="1">VLOOKUP(AR43,U10組合せ!$B$10:$I$17,3,TRUE)</f>
        <v>サウス宇都宮SC</v>
      </c>
      <c r="K43" s="468"/>
      <c r="L43" s="468"/>
      <c r="M43" s="468"/>
      <c r="N43" s="468"/>
      <c r="O43" s="468"/>
      <c r="P43" s="468"/>
      <c r="Q43" s="446">
        <f>IF(OR(S43="",S44=""),"",S43+S44)</f>
        <v>0</v>
      </c>
      <c r="R43" s="446"/>
      <c r="S43" s="136">
        <v>0</v>
      </c>
      <c r="T43" s="137" t="s">
        <v>8</v>
      </c>
      <c r="U43" s="136">
        <v>0</v>
      </c>
      <c r="V43" s="446">
        <f>IF(OR(U43="",U44=""),"",U43+U44)</f>
        <v>0</v>
      </c>
      <c r="W43" s="446"/>
      <c r="X43" s="467" t="str">
        <f ca="1">VLOOKUP(AS43,U10組合せ!$B$10:$I$17,3,TRUE)</f>
        <v>ともぞうSC U10</v>
      </c>
      <c r="Y43" s="468"/>
      <c r="Z43" s="468"/>
      <c r="AA43" s="468"/>
      <c r="AB43" s="468"/>
      <c r="AC43" s="468"/>
      <c r="AD43" s="468"/>
      <c r="AE43" s="449"/>
      <c r="AF43" s="449"/>
      <c r="AG43" s="449"/>
      <c r="AH43" s="449"/>
      <c r="AI43" s="446" t="str">
        <f ca="1">DBCS(INDIRECT("U10対戦スケジュール!f"&amp;(ROW()-1)/2-5))</f>
        <v>７／８／８／７</v>
      </c>
      <c r="AJ43" s="449" t="e">
        <f t="shared" ref="AJ43:AP49" ca="1" si="1">DBCS(INDIRECT("U10対戦スケジュール!A"&amp;(ROW())/2+2))</f>
        <v>#REF!</v>
      </c>
      <c r="AK43" s="449" t="e">
        <f t="shared" ca="1" si="1"/>
        <v>#REF!</v>
      </c>
      <c r="AL43" s="449" t="e">
        <f t="shared" ca="1" si="1"/>
        <v>#REF!</v>
      </c>
      <c r="AM43" s="449" t="e">
        <f t="shared" ca="1" si="1"/>
        <v>#REF!</v>
      </c>
      <c r="AN43" s="449" t="e">
        <f t="shared" ca="1" si="1"/>
        <v>#REF!</v>
      </c>
      <c r="AO43" s="449" t="e">
        <f t="shared" ca="1" si="1"/>
        <v>#REF!</v>
      </c>
      <c r="AP43" s="449" t="e">
        <f t="shared" ca="1" si="1"/>
        <v>#REF!</v>
      </c>
      <c r="AR43" s="134">
        <f ca="1">VLOOKUP(B43,U10対戦スケジュール!A$16:F$19,3,TRUE)</f>
        <v>5</v>
      </c>
      <c r="AS43" s="134">
        <f ca="1">VLOOKUP(B43,U10対戦スケジュール!A$16:F$19,5,TRUE)</f>
        <v>6</v>
      </c>
      <c r="AU43" s="138"/>
      <c r="AV43" s="138"/>
      <c r="AW43" s="138"/>
      <c r="AX43" s="138"/>
      <c r="AY43" s="138"/>
    </row>
    <row r="44" spans="1:51" ht="20.100000000000001" customHeight="1" x14ac:dyDescent="0.4">
      <c r="B44" s="442"/>
      <c r="C44" s="464"/>
      <c r="D44" s="465"/>
      <c r="E44" s="466"/>
      <c r="F44" s="449"/>
      <c r="G44" s="449"/>
      <c r="H44" s="449"/>
      <c r="I44" s="449"/>
      <c r="J44" s="468"/>
      <c r="K44" s="468"/>
      <c r="L44" s="468"/>
      <c r="M44" s="468"/>
      <c r="N44" s="468"/>
      <c r="O44" s="468"/>
      <c r="P44" s="468"/>
      <c r="Q44" s="446"/>
      <c r="R44" s="446"/>
      <c r="S44" s="136">
        <v>0</v>
      </c>
      <c r="T44" s="137" t="s">
        <v>8</v>
      </c>
      <c r="U44" s="136">
        <v>0</v>
      </c>
      <c r="V44" s="446"/>
      <c r="W44" s="446"/>
      <c r="X44" s="468"/>
      <c r="Y44" s="468"/>
      <c r="Z44" s="468"/>
      <c r="AA44" s="468"/>
      <c r="AB44" s="468"/>
      <c r="AC44" s="468"/>
      <c r="AD44" s="468"/>
      <c r="AE44" s="449"/>
      <c r="AF44" s="449"/>
      <c r="AG44" s="449"/>
      <c r="AH44" s="449"/>
      <c r="AI44" s="449"/>
      <c r="AJ44" s="449"/>
      <c r="AK44" s="449"/>
      <c r="AL44" s="449"/>
      <c r="AM44" s="449"/>
      <c r="AN44" s="449"/>
      <c r="AO44" s="449"/>
      <c r="AP44" s="449"/>
      <c r="AU44" s="138"/>
      <c r="AV44" s="138"/>
      <c r="AW44" s="138"/>
      <c r="AX44" s="138"/>
      <c r="AY44" s="138"/>
    </row>
    <row r="45" spans="1:51" ht="20.100000000000001" customHeight="1" x14ac:dyDescent="0.4">
      <c r="B45" s="442" t="str">
        <f ca="1">DBCS(INDIRECT("U10対戦スケジュール!A"&amp;(ROW()-1)/2-5))</f>
        <v>②</v>
      </c>
      <c r="C45" s="461">
        <f ca="1">INDIRECT("U10対戦スケジュール!b"&amp;(ROW()-1)/2-5)</f>
        <v>0.40279999999999999</v>
      </c>
      <c r="D45" s="462"/>
      <c r="E45" s="463"/>
      <c r="F45" s="449"/>
      <c r="G45" s="449"/>
      <c r="H45" s="449"/>
      <c r="I45" s="449"/>
      <c r="J45" s="467" t="str">
        <f ca="1">VLOOKUP(AR45,U10組合せ!$B$10:$I$17,3,TRUE)</f>
        <v>上河内JSC</v>
      </c>
      <c r="K45" s="468"/>
      <c r="L45" s="468"/>
      <c r="M45" s="468"/>
      <c r="N45" s="468"/>
      <c r="O45" s="468"/>
      <c r="P45" s="468"/>
      <c r="Q45" s="446">
        <f>IF(OR(S45="",S46=""),"",S45+S46)</f>
        <v>3</v>
      </c>
      <c r="R45" s="446"/>
      <c r="S45" s="136">
        <v>2</v>
      </c>
      <c r="T45" s="137" t="s">
        <v>8</v>
      </c>
      <c r="U45" s="136">
        <v>2</v>
      </c>
      <c r="V45" s="446">
        <f>IF(OR(U45="",U46=""),"",U45+U46)</f>
        <v>3</v>
      </c>
      <c r="W45" s="446"/>
      <c r="X45" s="467" t="str">
        <f ca="1">VLOOKUP(AS45,U10組合せ!$B$10:$I$17,3,TRUE)</f>
        <v>FC グランディール</v>
      </c>
      <c r="Y45" s="468"/>
      <c r="Z45" s="468"/>
      <c r="AA45" s="468"/>
      <c r="AB45" s="468"/>
      <c r="AC45" s="468"/>
      <c r="AD45" s="468"/>
      <c r="AE45" s="449"/>
      <c r="AF45" s="449"/>
      <c r="AG45" s="449"/>
      <c r="AH45" s="449"/>
      <c r="AI45" s="446" t="str">
        <f ca="1">DBCS(INDIRECT("U10対戦スケジュール!f"&amp;(ROW()-1)/2-5))</f>
        <v>６／５／５／６</v>
      </c>
      <c r="AJ45" s="449" t="e">
        <f t="shared" ca="1" si="1"/>
        <v>#REF!</v>
      </c>
      <c r="AK45" s="449" t="e">
        <f t="shared" ca="1" si="1"/>
        <v>#REF!</v>
      </c>
      <c r="AL45" s="449" t="e">
        <f t="shared" ca="1" si="1"/>
        <v>#REF!</v>
      </c>
      <c r="AM45" s="449" t="e">
        <f t="shared" ca="1" si="1"/>
        <v>#REF!</v>
      </c>
      <c r="AN45" s="449" t="e">
        <f t="shared" ca="1" si="1"/>
        <v>#REF!</v>
      </c>
      <c r="AO45" s="449" t="e">
        <f t="shared" ca="1" si="1"/>
        <v>#REF!</v>
      </c>
      <c r="AP45" s="449" t="e">
        <f t="shared" ca="1" si="1"/>
        <v>#REF!</v>
      </c>
      <c r="AR45" s="134">
        <f ca="1">VLOOKUP(B45,U10対戦スケジュール!A$16:F$19,3,TRUE)</f>
        <v>7</v>
      </c>
      <c r="AS45" s="134">
        <f ca="1">VLOOKUP(B45,U10対戦スケジュール!A$16:F$19,5,TRUE)</f>
        <v>8</v>
      </c>
    </row>
    <row r="46" spans="1:51" ht="20.100000000000001" customHeight="1" x14ac:dyDescent="0.4">
      <c r="B46" s="442"/>
      <c r="C46" s="464"/>
      <c r="D46" s="465"/>
      <c r="E46" s="466"/>
      <c r="F46" s="449"/>
      <c r="G46" s="449"/>
      <c r="H46" s="449"/>
      <c r="I46" s="449"/>
      <c r="J46" s="468"/>
      <c r="K46" s="468"/>
      <c r="L46" s="468"/>
      <c r="M46" s="468"/>
      <c r="N46" s="468"/>
      <c r="O46" s="468"/>
      <c r="P46" s="468"/>
      <c r="Q46" s="446"/>
      <c r="R46" s="446"/>
      <c r="S46" s="136">
        <v>1</v>
      </c>
      <c r="T46" s="137" t="s">
        <v>8</v>
      </c>
      <c r="U46" s="136">
        <v>1</v>
      </c>
      <c r="V46" s="446"/>
      <c r="W46" s="446"/>
      <c r="X46" s="468"/>
      <c r="Y46" s="468"/>
      <c r="Z46" s="468"/>
      <c r="AA46" s="468"/>
      <c r="AB46" s="468"/>
      <c r="AC46" s="468"/>
      <c r="AD46" s="468"/>
      <c r="AE46" s="449"/>
      <c r="AF46" s="449"/>
      <c r="AG46" s="449"/>
      <c r="AH46" s="449"/>
      <c r="AI46" s="449"/>
      <c r="AJ46" s="449"/>
      <c r="AK46" s="449"/>
      <c r="AL46" s="449"/>
      <c r="AM46" s="449"/>
      <c r="AN46" s="449"/>
      <c r="AO46" s="449"/>
      <c r="AP46" s="449"/>
    </row>
    <row r="47" spans="1:51" ht="20.100000000000001" customHeight="1" x14ac:dyDescent="0.4">
      <c r="B47" s="442" t="str">
        <f ca="1">DBCS(INDIRECT("U10対戦スケジュール!A"&amp;(ROW()-1)/2-5))</f>
        <v>③</v>
      </c>
      <c r="C47" s="461">
        <f ca="1">INDIRECT("U10対戦スケジュール!b"&amp;(ROW()-1)/2-5)</f>
        <v>0.43779999999999997</v>
      </c>
      <c r="D47" s="462"/>
      <c r="E47" s="463"/>
      <c r="F47" s="449"/>
      <c r="G47" s="449"/>
      <c r="H47" s="449"/>
      <c r="I47" s="449"/>
      <c r="J47" s="467" t="str">
        <f ca="1">VLOOKUP(AR47,U10組合せ!$B$10:$I$17,3,TRUE)</f>
        <v>上河内JSC</v>
      </c>
      <c r="K47" s="468"/>
      <c r="L47" s="468"/>
      <c r="M47" s="468"/>
      <c r="N47" s="468"/>
      <c r="O47" s="468"/>
      <c r="P47" s="468"/>
      <c r="Q47" s="446">
        <f>IF(OR(S47="",S48=""),"",S47+S48)</f>
        <v>8</v>
      </c>
      <c r="R47" s="446"/>
      <c r="S47" s="136">
        <v>2</v>
      </c>
      <c r="T47" s="137" t="s">
        <v>8</v>
      </c>
      <c r="U47" s="136">
        <v>0</v>
      </c>
      <c r="V47" s="446">
        <f>IF(OR(U47="",U48=""),"",U47+U48)</f>
        <v>0</v>
      </c>
      <c r="W47" s="446"/>
      <c r="X47" s="467" t="str">
        <f ca="1">VLOOKUP(AS47,U10組合せ!$B$10:$I$17,3,TRUE)</f>
        <v>サウス宇都宮SC</v>
      </c>
      <c r="Y47" s="468"/>
      <c r="Z47" s="468"/>
      <c r="AA47" s="468"/>
      <c r="AB47" s="468"/>
      <c r="AC47" s="468"/>
      <c r="AD47" s="468"/>
      <c r="AE47" s="449"/>
      <c r="AF47" s="449"/>
      <c r="AG47" s="449"/>
      <c r="AH47" s="449"/>
      <c r="AI47" s="446" t="str">
        <f ca="1">DBCS(INDIRECT("U10対戦スケジュール!f"&amp;(ROW()-1)/2-5))</f>
        <v>８／６／６／８</v>
      </c>
      <c r="AJ47" s="449" t="e">
        <f t="shared" ca="1" si="1"/>
        <v>#REF!</v>
      </c>
      <c r="AK47" s="449" t="e">
        <f t="shared" ca="1" si="1"/>
        <v>#REF!</v>
      </c>
      <c r="AL47" s="449" t="e">
        <f t="shared" ca="1" si="1"/>
        <v>#REF!</v>
      </c>
      <c r="AM47" s="449" t="e">
        <f t="shared" ca="1" si="1"/>
        <v>#REF!</v>
      </c>
      <c r="AN47" s="449" t="e">
        <f t="shared" ca="1" si="1"/>
        <v>#REF!</v>
      </c>
      <c r="AO47" s="449" t="e">
        <f t="shared" ca="1" si="1"/>
        <v>#REF!</v>
      </c>
      <c r="AP47" s="449" t="e">
        <f t="shared" ca="1" si="1"/>
        <v>#REF!</v>
      </c>
      <c r="AR47" s="134">
        <f ca="1">VLOOKUP(B47,U10対戦スケジュール!A$16:F$19,3,TRUE)</f>
        <v>7</v>
      </c>
      <c r="AS47" s="134">
        <f ca="1">VLOOKUP(B47,U10対戦スケジュール!A$16:F$19,5,TRUE)</f>
        <v>5</v>
      </c>
    </row>
    <row r="48" spans="1:51" ht="20.100000000000001" customHeight="1" x14ac:dyDescent="0.4">
      <c r="B48" s="442"/>
      <c r="C48" s="464"/>
      <c r="D48" s="465"/>
      <c r="E48" s="466"/>
      <c r="F48" s="449"/>
      <c r="G48" s="449"/>
      <c r="H48" s="449"/>
      <c r="I48" s="449"/>
      <c r="J48" s="468"/>
      <c r="K48" s="468"/>
      <c r="L48" s="468"/>
      <c r="M48" s="468"/>
      <c r="N48" s="468"/>
      <c r="O48" s="468"/>
      <c r="P48" s="468"/>
      <c r="Q48" s="446"/>
      <c r="R48" s="446"/>
      <c r="S48" s="136">
        <v>6</v>
      </c>
      <c r="T48" s="137" t="s">
        <v>8</v>
      </c>
      <c r="U48" s="136">
        <v>0</v>
      </c>
      <c r="V48" s="446"/>
      <c r="W48" s="446"/>
      <c r="X48" s="468"/>
      <c r="Y48" s="468"/>
      <c r="Z48" s="468"/>
      <c r="AA48" s="468"/>
      <c r="AB48" s="468"/>
      <c r="AC48" s="468"/>
      <c r="AD48" s="468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</row>
    <row r="49" spans="1:45" ht="18" customHeight="1" x14ac:dyDescent="0.4">
      <c r="B49" s="442" t="str">
        <f ca="1">DBCS(INDIRECT("U10対戦スケジュール!A"&amp;(ROW()-1)/2-5))</f>
        <v>④</v>
      </c>
      <c r="C49" s="461">
        <f ca="1">INDIRECT("U10対戦スケジュール!b"&amp;(ROW()-1)/2-5)</f>
        <v>0.46559999999999996</v>
      </c>
      <c r="D49" s="462"/>
      <c r="E49" s="463"/>
      <c r="F49" s="449"/>
      <c r="G49" s="449"/>
      <c r="H49" s="449"/>
      <c r="I49" s="449"/>
      <c r="J49" s="467" t="str">
        <f ca="1">VLOOKUP(AR49,U10組合せ!$B$10:$I$17,3,TRUE)</f>
        <v>FC グランディール</v>
      </c>
      <c r="K49" s="468"/>
      <c r="L49" s="468"/>
      <c r="M49" s="468"/>
      <c r="N49" s="468"/>
      <c r="O49" s="468"/>
      <c r="P49" s="468"/>
      <c r="Q49" s="446">
        <f>IF(OR(S49="",S50=""),"",S49+S50)</f>
        <v>1</v>
      </c>
      <c r="R49" s="446"/>
      <c r="S49" s="136">
        <v>0</v>
      </c>
      <c r="T49" s="137" t="s">
        <v>8</v>
      </c>
      <c r="U49" s="136">
        <v>0</v>
      </c>
      <c r="V49" s="446">
        <f>IF(OR(U49="",U50=""),"",U49+U50)</f>
        <v>1</v>
      </c>
      <c r="W49" s="446"/>
      <c r="X49" s="467" t="str">
        <f ca="1">VLOOKUP(AS49,U10組合せ!$B$10:$I$17,3,TRUE)</f>
        <v>ともぞうSC U10</v>
      </c>
      <c r="Y49" s="468"/>
      <c r="Z49" s="468"/>
      <c r="AA49" s="468"/>
      <c r="AB49" s="468"/>
      <c r="AC49" s="468"/>
      <c r="AD49" s="468"/>
      <c r="AE49" s="449"/>
      <c r="AF49" s="449"/>
      <c r="AG49" s="449"/>
      <c r="AH49" s="449"/>
      <c r="AI49" s="446" t="str">
        <f ca="1">DBCS(INDIRECT("U10対戦スケジュール!f"&amp;(ROW()-1)/2-5))</f>
        <v>５／７／７／５</v>
      </c>
      <c r="AJ49" s="449" t="e">
        <f t="shared" ca="1" si="1"/>
        <v>#REF!</v>
      </c>
      <c r="AK49" s="449" t="e">
        <f t="shared" ca="1" si="1"/>
        <v>#REF!</v>
      </c>
      <c r="AL49" s="449" t="e">
        <f t="shared" ca="1" si="1"/>
        <v>#REF!</v>
      </c>
      <c r="AM49" s="449" t="e">
        <f t="shared" ca="1" si="1"/>
        <v>#REF!</v>
      </c>
      <c r="AN49" s="449" t="e">
        <f t="shared" ca="1" si="1"/>
        <v>#REF!</v>
      </c>
      <c r="AO49" s="449" t="e">
        <f t="shared" ca="1" si="1"/>
        <v>#REF!</v>
      </c>
      <c r="AP49" s="449" t="e">
        <f t="shared" ca="1" si="1"/>
        <v>#REF!</v>
      </c>
      <c r="AR49" s="134">
        <f ca="1">VLOOKUP(B49,U10対戦スケジュール!A$16:F$19,3,TRUE)</f>
        <v>8</v>
      </c>
      <c r="AS49" s="134">
        <f ca="1">VLOOKUP(B49,U10対戦スケジュール!A$16:F$19,5,TRUE)</f>
        <v>6</v>
      </c>
    </row>
    <row r="50" spans="1:45" ht="18" customHeight="1" x14ac:dyDescent="0.4">
      <c r="B50" s="442"/>
      <c r="C50" s="464"/>
      <c r="D50" s="465"/>
      <c r="E50" s="466"/>
      <c r="F50" s="449"/>
      <c r="G50" s="449"/>
      <c r="H50" s="449"/>
      <c r="I50" s="449"/>
      <c r="J50" s="468"/>
      <c r="K50" s="468"/>
      <c r="L50" s="468"/>
      <c r="M50" s="468"/>
      <c r="N50" s="468"/>
      <c r="O50" s="468"/>
      <c r="P50" s="468"/>
      <c r="Q50" s="446"/>
      <c r="R50" s="446"/>
      <c r="S50" s="136">
        <v>1</v>
      </c>
      <c r="T50" s="137" t="s">
        <v>8</v>
      </c>
      <c r="U50" s="136">
        <v>1</v>
      </c>
      <c r="V50" s="446"/>
      <c r="W50" s="446"/>
      <c r="X50" s="468"/>
      <c r="Y50" s="468"/>
      <c r="Z50" s="468"/>
      <c r="AA50" s="468"/>
      <c r="AB50" s="468"/>
      <c r="AC50" s="468"/>
      <c r="AD50" s="468"/>
      <c r="AE50" s="449"/>
      <c r="AF50" s="449"/>
      <c r="AG50" s="449"/>
      <c r="AH50" s="449"/>
      <c r="AI50" s="449"/>
      <c r="AJ50" s="449"/>
      <c r="AK50" s="449"/>
      <c r="AL50" s="449"/>
      <c r="AM50" s="449"/>
      <c r="AN50" s="449"/>
      <c r="AO50" s="449"/>
      <c r="AP50" s="449"/>
    </row>
    <row r="51" spans="1:45" ht="18" customHeight="1" x14ac:dyDescent="0.4">
      <c r="B51" s="442"/>
      <c r="C51" s="451"/>
      <c r="D51" s="452"/>
      <c r="E51" s="453"/>
      <c r="F51" s="449"/>
      <c r="G51" s="449"/>
      <c r="H51" s="449"/>
      <c r="I51" s="449"/>
      <c r="J51" s="457"/>
      <c r="K51" s="458"/>
      <c r="L51" s="458"/>
      <c r="M51" s="458"/>
      <c r="N51" s="458"/>
      <c r="O51" s="458"/>
      <c r="P51" s="458"/>
      <c r="Q51" s="446"/>
      <c r="R51" s="446"/>
      <c r="S51" s="136"/>
      <c r="T51" s="137"/>
      <c r="U51" s="136"/>
      <c r="V51" s="446"/>
      <c r="W51" s="446"/>
      <c r="X51" s="457"/>
      <c r="Y51" s="458"/>
      <c r="Z51" s="458"/>
      <c r="AA51" s="458"/>
      <c r="AB51" s="458"/>
      <c r="AC51" s="458"/>
      <c r="AD51" s="458"/>
      <c r="AE51" s="449"/>
      <c r="AF51" s="449"/>
      <c r="AG51" s="449"/>
      <c r="AH51" s="449"/>
      <c r="AI51" s="459"/>
      <c r="AJ51" s="460"/>
      <c r="AK51" s="460"/>
      <c r="AL51" s="460"/>
      <c r="AM51" s="460"/>
      <c r="AN51" s="460"/>
      <c r="AO51" s="460"/>
      <c r="AP51" s="460"/>
    </row>
    <row r="52" spans="1:45" ht="18" customHeight="1" x14ac:dyDescent="0.4">
      <c r="B52" s="442"/>
      <c r="C52" s="454"/>
      <c r="D52" s="455"/>
      <c r="E52" s="456"/>
      <c r="F52" s="449"/>
      <c r="G52" s="449"/>
      <c r="H52" s="449"/>
      <c r="I52" s="449"/>
      <c r="J52" s="458"/>
      <c r="K52" s="458"/>
      <c r="L52" s="458"/>
      <c r="M52" s="458"/>
      <c r="N52" s="458"/>
      <c r="O52" s="458"/>
      <c r="P52" s="458"/>
      <c r="Q52" s="446"/>
      <c r="R52" s="446"/>
      <c r="S52" s="136"/>
      <c r="T52" s="137"/>
      <c r="U52" s="136"/>
      <c r="V52" s="446"/>
      <c r="W52" s="446"/>
      <c r="X52" s="458"/>
      <c r="Y52" s="458"/>
      <c r="Z52" s="458"/>
      <c r="AA52" s="458"/>
      <c r="AB52" s="458"/>
      <c r="AC52" s="458"/>
      <c r="AD52" s="458"/>
      <c r="AE52" s="449"/>
      <c r="AF52" s="449"/>
      <c r="AG52" s="449"/>
      <c r="AH52" s="449"/>
      <c r="AI52" s="460"/>
      <c r="AJ52" s="460"/>
      <c r="AK52" s="460"/>
      <c r="AL52" s="460"/>
      <c r="AM52" s="460"/>
      <c r="AN52" s="460"/>
      <c r="AO52" s="460"/>
      <c r="AP52" s="460"/>
    </row>
    <row r="53" spans="1:45" ht="18" customHeight="1" x14ac:dyDescent="0.4">
      <c r="B53" s="442"/>
      <c r="C53" s="451"/>
      <c r="D53" s="452"/>
      <c r="E53" s="453"/>
      <c r="F53" s="449"/>
      <c r="G53" s="449"/>
      <c r="H53" s="449"/>
      <c r="I53" s="449"/>
      <c r="J53" s="457"/>
      <c r="K53" s="458"/>
      <c r="L53" s="458"/>
      <c r="M53" s="458"/>
      <c r="N53" s="458"/>
      <c r="O53" s="458"/>
      <c r="P53" s="458"/>
      <c r="Q53" s="446"/>
      <c r="R53" s="446"/>
      <c r="S53" s="136"/>
      <c r="T53" s="137"/>
      <c r="U53" s="136"/>
      <c r="V53" s="446"/>
      <c r="W53" s="446"/>
      <c r="X53" s="457"/>
      <c r="Y53" s="458"/>
      <c r="Z53" s="458"/>
      <c r="AA53" s="458"/>
      <c r="AB53" s="458"/>
      <c r="AC53" s="458"/>
      <c r="AD53" s="458"/>
      <c r="AE53" s="449"/>
      <c r="AF53" s="449"/>
      <c r="AG53" s="449"/>
      <c r="AH53" s="449"/>
      <c r="AI53" s="459"/>
      <c r="AJ53" s="460"/>
      <c r="AK53" s="460"/>
      <c r="AL53" s="460"/>
      <c r="AM53" s="460"/>
      <c r="AN53" s="460"/>
      <c r="AO53" s="460"/>
      <c r="AP53" s="460"/>
    </row>
    <row r="54" spans="1:45" ht="18" customHeight="1" x14ac:dyDescent="0.4">
      <c r="B54" s="442"/>
      <c r="C54" s="454"/>
      <c r="D54" s="455"/>
      <c r="E54" s="456"/>
      <c r="F54" s="449"/>
      <c r="G54" s="449"/>
      <c r="H54" s="449"/>
      <c r="I54" s="449"/>
      <c r="J54" s="458"/>
      <c r="K54" s="458"/>
      <c r="L54" s="458"/>
      <c r="M54" s="458"/>
      <c r="N54" s="458"/>
      <c r="O54" s="458"/>
      <c r="P54" s="458"/>
      <c r="Q54" s="446"/>
      <c r="R54" s="446"/>
      <c r="S54" s="136"/>
      <c r="T54" s="137"/>
      <c r="U54" s="136"/>
      <c r="V54" s="446"/>
      <c r="W54" s="446"/>
      <c r="X54" s="458"/>
      <c r="Y54" s="458"/>
      <c r="Z54" s="458"/>
      <c r="AA54" s="458"/>
      <c r="AB54" s="458"/>
      <c r="AC54" s="458"/>
      <c r="AD54" s="458"/>
      <c r="AE54" s="449"/>
      <c r="AF54" s="449"/>
      <c r="AG54" s="449"/>
      <c r="AH54" s="449"/>
      <c r="AI54" s="460"/>
      <c r="AJ54" s="460"/>
      <c r="AK54" s="460"/>
      <c r="AL54" s="460"/>
      <c r="AM54" s="460"/>
      <c r="AN54" s="460"/>
      <c r="AO54" s="460"/>
      <c r="AP54" s="460"/>
    </row>
    <row r="55" spans="1:45" ht="18" customHeight="1" x14ac:dyDescent="0.4">
      <c r="B55" s="442"/>
      <c r="C55" s="450"/>
      <c r="D55" s="450"/>
      <c r="E55" s="450"/>
      <c r="F55" s="449"/>
      <c r="G55" s="449"/>
      <c r="H55" s="449"/>
      <c r="I55" s="449"/>
      <c r="J55" s="447"/>
      <c r="K55" s="448"/>
      <c r="L55" s="448"/>
      <c r="M55" s="448"/>
      <c r="N55" s="448"/>
      <c r="O55" s="448"/>
      <c r="P55" s="448"/>
      <c r="Q55" s="446"/>
      <c r="R55" s="446"/>
      <c r="S55" s="136"/>
      <c r="T55" s="137"/>
      <c r="U55" s="136"/>
      <c r="V55" s="446"/>
      <c r="W55" s="446"/>
      <c r="X55" s="447"/>
      <c r="Y55" s="448"/>
      <c r="Z55" s="448"/>
      <c r="AA55" s="448"/>
      <c r="AB55" s="448"/>
      <c r="AC55" s="448"/>
      <c r="AD55" s="448"/>
      <c r="AE55" s="449"/>
      <c r="AF55" s="449"/>
      <c r="AG55" s="449"/>
      <c r="AH55" s="449"/>
      <c r="AI55" s="446"/>
      <c r="AJ55" s="449"/>
      <c r="AK55" s="449"/>
      <c r="AL55" s="449"/>
      <c r="AM55" s="449"/>
      <c r="AN55" s="449"/>
      <c r="AO55" s="449"/>
      <c r="AP55" s="449"/>
    </row>
    <row r="56" spans="1:45" ht="18" customHeight="1" x14ac:dyDescent="0.4">
      <c r="B56" s="442"/>
      <c r="C56" s="450"/>
      <c r="D56" s="450"/>
      <c r="E56" s="450"/>
      <c r="F56" s="449"/>
      <c r="G56" s="449"/>
      <c r="H56" s="449"/>
      <c r="I56" s="449"/>
      <c r="J56" s="448"/>
      <c r="K56" s="448"/>
      <c r="L56" s="448"/>
      <c r="M56" s="448"/>
      <c r="N56" s="448"/>
      <c r="O56" s="448"/>
      <c r="P56" s="448"/>
      <c r="Q56" s="446"/>
      <c r="R56" s="446"/>
      <c r="S56" s="136"/>
      <c r="T56" s="137"/>
      <c r="U56" s="136"/>
      <c r="V56" s="446"/>
      <c r="W56" s="446"/>
      <c r="X56" s="448"/>
      <c r="Y56" s="448"/>
      <c r="Z56" s="448"/>
      <c r="AA56" s="448"/>
      <c r="AB56" s="448"/>
      <c r="AC56" s="448"/>
      <c r="AD56" s="448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</row>
    <row r="57" spans="1:45" ht="15.75" customHeight="1" x14ac:dyDescent="0.4">
      <c r="A57" s="138"/>
      <c r="B57" s="139"/>
      <c r="C57" s="140"/>
      <c r="D57" s="140"/>
      <c r="E57" s="140"/>
      <c r="F57" s="139"/>
      <c r="G57" s="139"/>
      <c r="H57" s="139"/>
      <c r="I57" s="139"/>
      <c r="J57" s="139"/>
      <c r="K57" s="141"/>
      <c r="L57" s="141"/>
      <c r="M57" s="142"/>
      <c r="N57" s="143"/>
      <c r="O57" s="142"/>
      <c r="P57" s="141"/>
      <c r="Q57" s="141"/>
      <c r="R57" s="139"/>
      <c r="S57" s="139"/>
      <c r="T57" s="139"/>
      <c r="U57" s="139"/>
      <c r="V57" s="139"/>
      <c r="W57" s="144"/>
      <c r="X57" s="144"/>
      <c r="Y57" s="144"/>
      <c r="Z57" s="144"/>
      <c r="AA57" s="144"/>
      <c r="AB57" s="144"/>
      <c r="AC57" s="138"/>
    </row>
    <row r="58" spans="1:45" ht="20.25" customHeight="1" x14ac:dyDescent="0.4">
      <c r="D58" s="442" t="s">
        <v>9</v>
      </c>
      <c r="E58" s="442"/>
      <c r="F58" s="442"/>
      <c r="G58" s="442"/>
      <c r="H58" s="442"/>
      <c r="I58" s="442"/>
      <c r="J58" s="442" t="s">
        <v>5</v>
      </c>
      <c r="K58" s="442"/>
      <c r="L58" s="442"/>
      <c r="M58" s="442"/>
      <c r="N58" s="442"/>
      <c r="O58" s="442"/>
      <c r="P58" s="442"/>
      <c r="Q58" s="442"/>
      <c r="R58" s="443" t="s">
        <v>10</v>
      </c>
      <c r="S58" s="443"/>
      <c r="T58" s="443"/>
      <c r="U58" s="443"/>
      <c r="V58" s="443"/>
      <c r="W58" s="443"/>
      <c r="X58" s="443"/>
      <c r="Y58" s="443"/>
      <c r="Z58" s="443"/>
      <c r="AA58" s="444" t="s">
        <v>11</v>
      </c>
      <c r="AB58" s="444"/>
      <c r="AC58" s="444"/>
      <c r="AD58" s="444" t="s">
        <v>12</v>
      </c>
      <c r="AE58" s="444"/>
      <c r="AF58" s="444"/>
      <c r="AG58" s="444"/>
      <c r="AH58" s="444"/>
      <c r="AI58" s="444"/>
      <c r="AJ58" s="444"/>
      <c r="AK58" s="444"/>
      <c r="AL58" s="444"/>
      <c r="AM58" s="444"/>
    </row>
    <row r="59" spans="1:45" ht="30" customHeight="1" x14ac:dyDescent="0.4">
      <c r="D59" s="442" t="s">
        <v>13</v>
      </c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3"/>
      <c r="S59" s="443"/>
      <c r="T59" s="443"/>
      <c r="U59" s="443"/>
      <c r="V59" s="443"/>
      <c r="W59" s="443"/>
      <c r="X59" s="443"/>
      <c r="Y59" s="443"/>
      <c r="Z59" s="443"/>
      <c r="AA59" s="445"/>
      <c r="AB59" s="445"/>
      <c r="AC59" s="445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</row>
    <row r="60" spans="1:45" ht="30" customHeight="1" x14ac:dyDescent="0.4">
      <c r="D60" s="442" t="s">
        <v>13</v>
      </c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3"/>
      <c r="S60" s="443"/>
      <c r="T60" s="443"/>
      <c r="U60" s="443"/>
      <c r="V60" s="443"/>
      <c r="W60" s="443"/>
      <c r="X60" s="443"/>
      <c r="Y60" s="443"/>
      <c r="Z60" s="443"/>
      <c r="AA60" s="444"/>
      <c r="AB60" s="444"/>
      <c r="AC60" s="444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</row>
    <row r="61" spans="1:45" ht="30" customHeight="1" x14ac:dyDescent="0.4">
      <c r="D61" s="442" t="s">
        <v>13</v>
      </c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3"/>
      <c r="S61" s="443"/>
      <c r="T61" s="443"/>
      <c r="U61" s="443"/>
      <c r="V61" s="443"/>
      <c r="W61" s="443"/>
      <c r="X61" s="443"/>
      <c r="Y61" s="443"/>
      <c r="Z61" s="443"/>
      <c r="AA61" s="444"/>
      <c r="AB61" s="444"/>
      <c r="AC61" s="444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</row>
    <row r="62" spans="1:45" ht="15" customHeight="1" x14ac:dyDescent="0.4"/>
    <row r="63" spans="1:45" ht="14.25" customHeight="1" x14ac:dyDescent="0.4">
      <c r="A63" s="274"/>
      <c r="B63" s="489" t="str">
        <f>U10組合せ!$B$1</f>
        <v>ＪＦＡ　Ｕ-１０サッカーリーグ2021（in栃木） 宇都宮地区リーグ戦（前期）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90" t="str">
        <f>"【"&amp;(U10組合せ!$D$3)&amp;"】"</f>
        <v>【Ａ ブロック】</v>
      </c>
      <c r="AD63" s="490"/>
      <c r="AE63" s="490"/>
      <c r="AF63" s="490"/>
      <c r="AG63" s="490"/>
      <c r="AH63" s="490"/>
      <c r="AI63" s="490"/>
      <c r="AJ63" s="490"/>
      <c r="AK63" s="490" t="str">
        <f>"第"&amp;(U10組合せ!$D$25)</f>
        <v>第２節</v>
      </c>
      <c r="AL63" s="490"/>
      <c r="AM63" s="490"/>
      <c r="AN63" s="490"/>
      <c r="AO63" s="490"/>
      <c r="AP63" s="491" t="s">
        <v>195</v>
      </c>
      <c r="AQ63" s="492"/>
    </row>
    <row r="64" spans="1:45" ht="22.5" customHeight="1" x14ac:dyDescent="0.4">
      <c r="A64" s="274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2"/>
      <c r="AQ64" s="492"/>
    </row>
    <row r="65" spans="2:45" ht="27.75" customHeight="1" x14ac:dyDescent="0.4">
      <c r="C65" s="477" t="s">
        <v>1</v>
      </c>
      <c r="D65" s="477"/>
      <c r="E65" s="477"/>
      <c r="F65" s="477"/>
      <c r="G65" s="478" t="str">
        <f>U10組合せ!E25</f>
        <v>豊郷南小</v>
      </c>
      <c r="H65" s="479"/>
      <c r="I65" s="479"/>
      <c r="J65" s="479"/>
      <c r="K65" s="479"/>
      <c r="L65" s="479"/>
      <c r="M65" s="479"/>
      <c r="N65" s="479"/>
      <c r="O65" s="480"/>
      <c r="P65" s="477" t="s">
        <v>0</v>
      </c>
      <c r="Q65" s="477"/>
      <c r="R65" s="477"/>
      <c r="S65" s="477"/>
      <c r="T65" s="481" t="str">
        <f>AG68</f>
        <v>FC グランディール</v>
      </c>
      <c r="U65" s="481"/>
      <c r="V65" s="481"/>
      <c r="W65" s="481"/>
      <c r="X65" s="481"/>
      <c r="Y65" s="481"/>
      <c r="Z65" s="481"/>
      <c r="AA65" s="481"/>
      <c r="AB65" s="481"/>
      <c r="AC65" s="477" t="s">
        <v>2</v>
      </c>
      <c r="AD65" s="477"/>
      <c r="AE65" s="477"/>
      <c r="AF65" s="477"/>
      <c r="AG65" s="482">
        <f>U10組合せ!B25</f>
        <v>44310</v>
      </c>
      <c r="AH65" s="483"/>
      <c r="AI65" s="483"/>
      <c r="AJ65" s="483"/>
      <c r="AK65" s="483"/>
      <c r="AL65" s="483"/>
      <c r="AM65" s="484" t="str">
        <f>"（"&amp;TEXT(AG65,"aaa")&amp;"）"</f>
        <v>（土）</v>
      </c>
      <c r="AN65" s="484"/>
      <c r="AO65" s="485"/>
    </row>
    <row r="66" spans="2:45" ht="15" customHeight="1" x14ac:dyDescent="0.4">
      <c r="C66" s="134" t="str">
        <f>U10組合せ!E26</f>
        <v>A1358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3"/>
      <c r="X66" s="133"/>
      <c r="Y66" s="133"/>
      <c r="Z66" s="133"/>
      <c r="AA66" s="133"/>
      <c r="AB66" s="133"/>
      <c r="AC66" s="133"/>
    </row>
    <row r="67" spans="2:45" s="155" customFormat="1" ht="29.25" customHeight="1" x14ac:dyDescent="0.4">
      <c r="B67" s="134"/>
      <c r="C67" s="481">
        <v>1</v>
      </c>
      <c r="D67" s="481"/>
      <c r="E67" s="488" t="str">
        <f>VLOOKUP(C67,U10組合せ!$B$10:$I$17,3,TRUE)</f>
        <v>富士見SSS</v>
      </c>
      <c r="F67" s="488"/>
      <c r="G67" s="488"/>
      <c r="H67" s="488"/>
      <c r="I67" s="488"/>
      <c r="J67" s="488"/>
      <c r="K67" s="488"/>
      <c r="L67" s="488"/>
      <c r="M67" s="488"/>
      <c r="N67" s="488"/>
      <c r="O67" s="148"/>
      <c r="P67" s="148"/>
      <c r="Q67" s="486">
        <v>4</v>
      </c>
      <c r="R67" s="486"/>
      <c r="S67" s="487" t="str">
        <f>VLOOKUP(Q67,U10組合せ!$B$10:$I$17,3,TRUE)</f>
        <v>清原シザース</v>
      </c>
      <c r="T67" s="487"/>
      <c r="U67" s="487"/>
      <c r="V67" s="487"/>
      <c r="W67" s="487"/>
      <c r="X67" s="487"/>
      <c r="Y67" s="487"/>
      <c r="Z67" s="487"/>
      <c r="AA67" s="487"/>
      <c r="AB67" s="487"/>
      <c r="AC67" s="131"/>
      <c r="AD67" s="132"/>
      <c r="AE67" s="486">
        <v>7</v>
      </c>
      <c r="AF67" s="486"/>
      <c r="AG67" s="487" t="str">
        <f>VLOOKUP(AE67,U10組合せ!$B$10:$I$17,3,TRUE)</f>
        <v>上河内JSC</v>
      </c>
      <c r="AH67" s="487"/>
      <c r="AI67" s="487"/>
      <c r="AJ67" s="487"/>
      <c r="AK67" s="487"/>
      <c r="AL67" s="487"/>
      <c r="AM67" s="487"/>
      <c r="AN67" s="487"/>
      <c r="AO67" s="487"/>
      <c r="AP67" s="487"/>
      <c r="AR67" s="155">
        <f>74/2</f>
        <v>37</v>
      </c>
    </row>
    <row r="68" spans="2:45" s="155" customFormat="1" ht="29.25" customHeight="1" x14ac:dyDescent="0.4">
      <c r="C68" s="486">
        <v>2</v>
      </c>
      <c r="D68" s="486"/>
      <c r="E68" s="487" t="str">
        <f>VLOOKUP(C68,U10組合せ!$B$10:$I$17,3,TRUE)</f>
        <v>unionscU10</v>
      </c>
      <c r="F68" s="487"/>
      <c r="G68" s="487"/>
      <c r="H68" s="487"/>
      <c r="I68" s="487"/>
      <c r="J68" s="487"/>
      <c r="K68" s="487"/>
      <c r="L68" s="487"/>
      <c r="M68" s="487"/>
      <c r="N68" s="487"/>
      <c r="O68" s="148"/>
      <c r="P68" s="148"/>
      <c r="Q68" s="481">
        <v>5</v>
      </c>
      <c r="R68" s="481"/>
      <c r="S68" s="488" t="str">
        <f>VLOOKUP(Q68,U10組合せ!$B$10:$I$17,3,TRUE)</f>
        <v>サウス宇都宮SC</v>
      </c>
      <c r="T68" s="488"/>
      <c r="U68" s="488"/>
      <c r="V68" s="488"/>
      <c r="W68" s="488"/>
      <c r="X68" s="488"/>
      <c r="Y68" s="488"/>
      <c r="Z68" s="488"/>
      <c r="AA68" s="488"/>
      <c r="AB68" s="488"/>
      <c r="AC68" s="131"/>
      <c r="AD68" s="132"/>
      <c r="AE68" s="481">
        <v>8</v>
      </c>
      <c r="AF68" s="481"/>
      <c r="AG68" s="488" t="str">
        <f>VLOOKUP(AE68,U10組合せ!$B$10:$I$17,3,TRUE)</f>
        <v>FC グランディール</v>
      </c>
      <c r="AH68" s="488"/>
      <c r="AI68" s="488"/>
      <c r="AJ68" s="488"/>
      <c r="AK68" s="488"/>
      <c r="AL68" s="488"/>
      <c r="AM68" s="488"/>
      <c r="AN68" s="488"/>
      <c r="AO68" s="488"/>
      <c r="AP68" s="488"/>
      <c r="AR68" s="155">
        <v>27</v>
      </c>
    </row>
    <row r="69" spans="2:45" s="155" customFormat="1" ht="29.25" customHeight="1" x14ac:dyDescent="0.4">
      <c r="C69" s="481">
        <v>3</v>
      </c>
      <c r="D69" s="481"/>
      <c r="E69" s="488" t="str">
        <f>VLOOKUP(C69,U10組合せ!$B$10:$I$17,3,TRUE)</f>
        <v>ISOSC</v>
      </c>
      <c r="F69" s="488"/>
      <c r="G69" s="488"/>
      <c r="H69" s="488"/>
      <c r="I69" s="488"/>
      <c r="J69" s="488"/>
      <c r="K69" s="488"/>
      <c r="L69" s="488"/>
      <c r="M69" s="488"/>
      <c r="N69" s="488"/>
      <c r="O69" s="148"/>
      <c r="P69" s="148"/>
      <c r="Q69" s="486">
        <v>6</v>
      </c>
      <c r="R69" s="486"/>
      <c r="S69" s="487" t="str">
        <f>VLOOKUP(Q69,U10組合せ!$B$10:$I$17,3,TRUE)</f>
        <v>ともぞうSC U10</v>
      </c>
      <c r="T69" s="487"/>
      <c r="U69" s="487"/>
      <c r="V69" s="487"/>
      <c r="W69" s="487"/>
      <c r="X69" s="487"/>
      <c r="Y69" s="487"/>
      <c r="Z69" s="487"/>
      <c r="AA69" s="487"/>
      <c r="AB69" s="487"/>
      <c r="AC69" s="131"/>
      <c r="AD69" s="132"/>
      <c r="AE69" s="486">
        <v>9</v>
      </c>
      <c r="AF69" s="486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R69" s="155">
        <f>AR67-AR68</f>
        <v>10</v>
      </c>
    </row>
    <row r="70" spans="2:45" ht="8.25" customHeight="1" x14ac:dyDescent="0.4">
      <c r="O70" s="138"/>
      <c r="P70" s="138"/>
      <c r="AC70" s="133"/>
    </row>
    <row r="71" spans="2:45" ht="8.25" customHeight="1" x14ac:dyDescent="0.4">
      <c r="C71" s="149"/>
      <c r="D71" s="150"/>
      <c r="E71" s="150"/>
      <c r="F71" s="150"/>
      <c r="G71" s="150"/>
      <c r="H71" s="150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50"/>
      <c r="U71" s="138"/>
      <c r="V71" s="150"/>
      <c r="W71" s="138"/>
      <c r="X71" s="150"/>
      <c r="Y71" s="138"/>
      <c r="Z71" s="150"/>
      <c r="AA71" s="138"/>
      <c r="AB71" s="150"/>
      <c r="AC71" s="150"/>
    </row>
    <row r="72" spans="2:45" ht="21" customHeight="1" x14ac:dyDescent="0.4">
      <c r="B72" s="134" t="s">
        <v>181</v>
      </c>
    </row>
    <row r="73" spans="2:45" ht="20.25" customHeight="1" x14ac:dyDescent="0.4">
      <c r="B73" s="135"/>
      <c r="C73" s="469" t="s">
        <v>3</v>
      </c>
      <c r="D73" s="469"/>
      <c r="E73" s="469"/>
      <c r="F73" s="470" t="s">
        <v>4</v>
      </c>
      <c r="G73" s="470"/>
      <c r="H73" s="470"/>
      <c r="I73" s="470"/>
      <c r="J73" s="469" t="s">
        <v>5</v>
      </c>
      <c r="K73" s="471"/>
      <c r="L73" s="471"/>
      <c r="M73" s="471"/>
      <c r="N73" s="471"/>
      <c r="O73" s="471"/>
      <c r="P73" s="471"/>
      <c r="Q73" s="469" t="s">
        <v>40</v>
      </c>
      <c r="R73" s="469"/>
      <c r="S73" s="469"/>
      <c r="T73" s="469"/>
      <c r="U73" s="469"/>
      <c r="V73" s="469"/>
      <c r="W73" s="469"/>
      <c r="X73" s="469" t="s">
        <v>5</v>
      </c>
      <c r="Y73" s="471"/>
      <c r="Z73" s="471"/>
      <c r="AA73" s="471"/>
      <c r="AB73" s="471"/>
      <c r="AC73" s="471"/>
      <c r="AD73" s="471"/>
      <c r="AE73" s="470" t="s">
        <v>4</v>
      </c>
      <c r="AF73" s="470"/>
      <c r="AG73" s="470"/>
      <c r="AH73" s="470"/>
      <c r="AI73" s="469" t="s">
        <v>7</v>
      </c>
      <c r="AJ73" s="469"/>
      <c r="AK73" s="471"/>
      <c r="AL73" s="471"/>
      <c r="AM73" s="471"/>
      <c r="AN73" s="471"/>
      <c r="AO73" s="471"/>
      <c r="AP73" s="471"/>
    </row>
    <row r="74" spans="2:45" ht="20.100000000000001" customHeight="1" x14ac:dyDescent="0.4">
      <c r="B74" s="442" t="str">
        <f ca="1">DBCS(INDIRECT("U10対戦スケジュール!A"&amp;(ROW())/2-10))</f>
        <v>①</v>
      </c>
      <c r="C74" s="461">
        <f ca="1">INDIRECT("U10対戦スケジュール!b"&amp;(ROW())/2-10)</f>
        <v>0.375</v>
      </c>
      <c r="D74" s="462"/>
      <c r="E74" s="463"/>
      <c r="F74" s="449"/>
      <c r="G74" s="449"/>
      <c r="H74" s="449"/>
      <c r="I74" s="449"/>
      <c r="J74" s="467" t="str">
        <f ca="1">VLOOKUP(AR74,U10組合せ!$B$10:$I$17,3,TRUE)</f>
        <v>富士見SSS</v>
      </c>
      <c r="K74" s="468"/>
      <c r="L74" s="468"/>
      <c r="M74" s="468"/>
      <c r="N74" s="468"/>
      <c r="O74" s="468"/>
      <c r="P74" s="468"/>
      <c r="Q74" s="446">
        <f>IF(OR(S74="",S75=""),"",S74+S75)</f>
        <v>0</v>
      </c>
      <c r="R74" s="446"/>
      <c r="S74" s="136">
        <v>0</v>
      </c>
      <c r="T74" s="137" t="s">
        <v>8</v>
      </c>
      <c r="U74" s="136">
        <v>6</v>
      </c>
      <c r="V74" s="446">
        <f>IF(OR(U74="",U75=""),"",U74+U75)</f>
        <v>14</v>
      </c>
      <c r="W74" s="446"/>
      <c r="X74" s="467" t="str">
        <f ca="1">VLOOKUP(AS74,U10組合せ!$B$10:$I$17,3,TRUE)</f>
        <v>ISOSC</v>
      </c>
      <c r="Y74" s="468"/>
      <c r="Z74" s="468"/>
      <c r="AA74" s="468"/>
      <c r="AB74" s="468"/>
      <c r="AC74" s="468"/>
      <c r="AD74" s="468"/>
      <c r="AE74" s="449"/>
      <c r="AF74" s="449"/>
      <c r="AG74" s="449"/>
      <c r="AH74" s="449"/>
      <c r="AI74" s="446" t="str">
        <f ca="1">DBCS(INDIRECT("U10対戦スケジュール!f"&amp;(ROW())/2-10))</f>
        <v>８／５／５／８</v>
      </c>
      <c r="AJ74" s="449" t="str">
        <f t="shared" ref="AJ74:AP80" ca="1" si="2">DBCS(INDIRECT("U10対戦スケジュール!A"&amp;(ROW())/2+2))</f>
        <v/>
      </c>
      <c r="AK74" s="449" t="str">
        <f t="shared" ca="1" si="2"/>
        <v/>
      </c>
      <c r="AL74" s="449" t="str">
        <f t="shared" ca="1" si="2"/>
        <v/>
      </c>
      <c r="AM74" s="449" t="str">
        <f t="shared" ca="1" si="2"/>
        <v/>
      </c>
      <c r="AN74" s="449" t="str">
        <f t="shared" ca="1" si="2"/>
        <v/>
      </c>
      <c r="AO74" s="449" t="str">
        <f t="shared" ca="1" si="2"/>
        <v/>
      </c>
      <c r="AP74" s="449" t="str">
        <f t="shared" ca="1" si="2"/>
        <v/>
      </c>
      <c r="AR74" s="151">
        <f ca="1">VLOOKUP(B74,U10対戦スケジュール!A$27:F$30,3,TRUE)</f>
        <v>1</v>
      </c>
      <c r="AS74" s="151">
        <f ca="1">VLOOKUP(B74,U10対戦スケジュール!A$27:F$30,5)</f>
        <v>3</v>
      </c>
    </row>
    <row r="75" spans="2:45" ht="20.100000000000001" customHeight="1" x14ac:dyDescent="0.4">
      <c r="B75" s="442"/>
      <c r="C75" s="464"/>
      <c r="D75" s="465"/>
      <c r="E75" s="466"/>
      <c r="F75" s="449"/>
      <c r="G75" s="449"/>
      <c r="H75" s="449"/>
      <c r="I75" s="449"/>
      <c r="J75" s="468"/>
      <c r="K75" s="468"/>
      <c r="L75" s="468"/>
      <c r="M75" s="468"/>
      <c r="N75" s="468"/>
      <c r="O75" s="468"/>
      <c r="P75" s="468"/>
      <c r="Q75" s="446"/>
      <c r="R75" s="446"/>
      <c r="S75" s="136">
        <v>0</v>
      </c>
      <c r="T75" s="137" t="s">
        <v>8</v>
      </c>
      <c r="U75" s="136">
        <v>8</v>
      </c>
      <c r="V75" s="446"/>
      <c r="W75" s="446"/>
      <c r="X75" s="468"/>
      <c r="Y75" s="468"/>
      <c r="Z75" s="468"/>
      <c r="AA75" s="468"/>
      <c r="AB75" s="468"/>
      <c r="AC75" s="468"/>
      <c r="AD75" s="468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R75" s="151"/>
      <c r="AS75" s="151"/>
    </row>
    <row r="76" spans="2:45" ht="20.100000000000001" customHeight="1" x14ac:dyDescent="0.4">
      <c r="B76" s="442" t="str">
        <f ca="1">DBCS(INDIRECT("U10対戦スケジュール!A"&amp;(ROW())/2-10))</f>
        <v>②</v>
      </c>
      <c r="C76" s="461">
        <f ca="1">INDIRECT("U10対戦スケジュール!b"&amp;(ROW())/2-10)</f>
        <v>0.40279999999999999</v>
      </c>
      <c r="D76" s="462"/>
      <c r="E76" s="463"/>
      <c r="F76" s="449"/>
      <c r="G76" s="449"/>
      <c r="H76" s="449"/>
      <c r="I76" s="449"/>
      <c r="J76" s="467" t="str">
        <f ca="1">VLOOKUP(AR76,U10組合せ!$B$10:$I$17,3,TRUE)</f>
        <v>サウス宇都宮SC</v>
      </c>
      <c r="K76" s="468"/>
      <c r="L76" s="468"/>
      <c r="M76" s="468"/>
      <c r="N76" s="468"/>
      <c r="O76" s="468"/>
      <c r="P76" s="468"/>
      <c r="Q76" s="446">
        <f>IF(OR(S76="",S77=""),"",S76+S77)</f>
        <v>0</v>
      </c>
      <c r="R76" s="446"/>
      <c r="S76" s="136">
        <v>0</v>
      </c>
      <c r="T76" s="137" t="s">
        <v>8</v>
      </c>
      <c r="U76" s="136">
        <v>1</v>
      </c>
      <c r="V76" s="446">
        <f>IF(OR(U76="",U77=""),"",U76+U77)</f>
        <v>1</v>
      </c>
      <c r="W76" s="446"/>
      <c r="X76" s="467" t="str">
        <f ca="1">VLOOKUP(AS76,U10組合せ!$B$10:$I$17,3,TRUE)</f>
        <v>FC グランディール</v>
      </c>
      <c r="Y76" s="468"/>
      <c r="Z76" s="468"/>
      <c r="AA76" s="468"/>
      <c r="AB76" s="468"/>
      <c r="AC76" s="468"/>
      <c r="AD76" s="468"/>
      <c r="AE76" s="449"/>
      <c r="AF76" s="449"/>
      <c r="AG76" s="449"/>
      <c r="AH76" s="449"/>
      <c r="AI76" s="446" t="str">
        <f ca="1">DBCS(INDIRECT("U10対戦スケジュール!f"&amp;(ROW())/2-10))</f>
        <v>１／３／３／１</v>
      </c>
      <c r="AJ76" s="449" t="str">
        <f t="shared" ca="1" si="2"/>
        <v>【　第３節　】</v>
      </c>
      <c r="AK76" s="449" t="str">
        <f t="shared" ca="1" si="2"/>
        <v>【　第３節　】</v>
      </c>
      <c r="AL76" s="449" t="str">
        <f t="shared" ca="1" si="2"/>
        <v>【　第３節　】</v>
      </c>
      <c r="AM76" s="449" t="str">
        <f t="shared" ca="1" si="2"/>
        <v>【　第３節　】</v>
      </c>
      <c r="AN76" s="449" t="str">
        <f t="shared" ca="1" si="2"/>
        <v>【　第３節　】</v>
      </c>
      <c r="AO76" s="449" t="str">
        <f t="shared" ca="1" si="2"/>
        <v>【　第３節　】</v>
      </c>
      <c r="AP76" s="449" t="str">
        <f t="shared" ca="1" si="2"/>
        <v>【　第３節　】</v>
      </c>
      <c r="AR76" s="151">
        <f ca="1">VLOOKUP(B76,U10対戦スケジュール!A$27:F$30,3,TRUE)</f>
        <v>5</v>
      </c>
      <c r="AS76" s="151">
        <f ca="1">VLOOKUP(B76,U10対戦スケジュール!A$27:F$30,5)</f>
        <v>8</v>
      </c>
    </row>
    <row r="77" spans="2:45" ht="20.100000000000001" customHeight="1" x14ac:dyDescent="0.4">
      <c r="B77" s="442"/>
      <c r="C77" s="464"/>
      <c r="D77" s="465"/>
      <c r="E77" s="466"/>
      <c r="F77" s="449"/>
      <c r="G77" s="449"/>
      <c r="H77" s="449"/>
      <c r="I77" s="449"/>
      <c r="J77" s="468"/>
      <c r="K77" s="468"/>
      <c r="L77" s="468"/>
      <c r="M77" s="468"/>
      <c r="N77" s="468"/>
      <c r="O77" s="468"/>
      <c r="P77" s="468"/>
      <c r="Q77" s="446"/>
      <c r="R77" s="446"/>
      <c r="S77" s="136">
        <v>0</v>
      </c>
      <c r="T77" s="137" t="s">
        <v>8</v>
      </c>
      <c r="U77" s="136">
        <v>0</v>
      </c>
      <c r="V77" s="446"/>
      <c r="W77" s="446"/>
      <c r="X77" s="468"/>
      <c r="Y77" s="468"/>
      <c r="Z77" s="468"/>
      <c r="AA77" s="468"/>
      <c r="AB77" s="468"/>
      <c r="AC77" s="468"/>
      <c r="AD77" s="468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R77" s="151"/>
      <c r="AS77" s="151"/>
    </row>
    <row r="78" spans="2:45" ht="20.100000000000001" customHeight="1" x14ac:dyDescent="0.4">
      <c r="B78" s="442" t="str">
        <f ca="1">DBCS(INDIRECT("U10対戦スケジュール!A"&amp;(ROW())/2-10))</f>
        <v>③</v>
      </c>
      <c r="C78" s="461">
        <f ca="1">INDIRECT("U10対戦スケジュール!b"&amp;(ROW())/2-10)</f>
        <v>0.43779999999999997</v>
      </c>
      <c r="D78" s="462"/>
      <c r="E78" s="463"/>
      <c r="F78" s="449"/>
      <c r="G78" s="449"/>
      <c r="H78" s="449"/>
      <c r="I78" s="449"/>
      <c r="J78" s="467" t="str">
        <f ca="1">VLOOKUP(AR78,U10組合せ!$B$10:$I$17,3,TRUE)</f>
        <v>サウス宇都宮SC</v>
      </c>
      <c r="K78" s="468"/>
      <c r="L78" s="468"/>
      <c r="M78" s="468"/>
      <c r="N78" s="468"/>
      <c r="O78" s="468"/>
      <c r="P78" s="468"/>
      <c r="Q78" s="446">
        <f>IF(OR(S78="",S79=""),"",S78+S79)</f>
        <v>5</v>
      </c>
      <c r="R78" s="446"/>
      <c r="S78" s="136">
        <v>3</v>
      </c>
      <c r="T78" s="137" t="s">
        <v>8</v>
      </c>
      <c r="U78" s="136">
        <v>0</v>
      </c>
      <c r="V78" s="446">
        <f>IF(OR(U78="",U79=""),"",U78+U79)</f>
        <v>1</v>
      </c>
      <c r="W78" s="446"/>
      <c r="X78" s="467" t="str">
        <f ca="1">VLOOKUP(AS78,U10組合せ!$B$10:$I$17,3,TRUE)</f>
        <v>富士見SSS</v>
      </c>
      <c r="Y78" s="468"/>
      <c r="Z78" s="468"/>
      <c r="AA78" s="468"/>
      <c r="AB78" s="468"/>
      <c r="AC78" s="468"/>
      <c r="AD78" s="468"/>
      <c r="AE78" s="449"/>
      <c r="AF78" s="449"/>
      <c r="AG78" s="449"/>
      <c r="AH78" s="449"/>
      <c r="AI78" s="446" t="str">
        <f ca="1">DBCS(INDIRECT("U10対戦スケジュール!f"&amp;(ROW())/2-10))</f>
        <v>３／８／８／３</v>
      </c>
      <c r="AJ78" s="449" t="str">
        <f t="shared" ca="1" si="2"/>
        <v/>
      </c>
      <c r="AK78" s="449" t="str">
        <f t="shared" ca="1" si="2"/>
        <v/>
      </c>
      <c r="AL78" s="449" t="str">
        <f t="shared" ca="1" si="2"/>
        <v/>
      </c>
      <c r="AM78" s="449" t="str">
        <f t="shared" ca="1" si="2"/>
        <v/>
      </c>
      <c r="AN78" s="449" t="str">
        <f t="shared" ca="1" si="2"/>
        <v/>
      </c>
      <c r="AO78" s="449" t="str">
        <f t="shared" ca="1" si="2"/>
        <v/>
      </c>
      <c r="AP78" s="449" t="str">
        <f t="shared" ca="1" si="2"/>
        <v/>
      </c>
      <c r="AR78" s="151">
        <f ca="1">VLOOKUP(B78,U10対戦スケジュール!A$27:F$30,3,TRUE)</f>
        <v>5</v>
      </c>
      <c r="AS78" s="151">
        <f ca="1">VLOOKUP(B78,U10対戦スケジュール!A$27:F$30,5)</f>
        <v>1</v>
      </c>
    </row>
    <row r="79" spans="2:45" ht="20.100000000000001" customHeight="1" x14ac:dyDescent="0.4">
      <c r="B79" s="442"/>
      <c r="C79" s="464"/>
      <c r="D79" s="465"/>
      <c r="E79" s="466"/>
      <c r="F79" s="449"/>
      <c r="G79" s="449"/>
      <c r="H79" s="449"/>
      <c r="I79" s="449"/>
      <c r="J79" s="468"/>
      <c r="K79" s="468"/>
      <c r="L79" s="468"/>
      <c r="M79" s="468"/>
      <c r="N79" s="468"/>
      <c r="O79" s="468"/>
      <c r="P79" s="468"/>
      <c r="Q79" s="446"/>
      <c r="R79" s="446"/>
      <c r="S79" s="136">
        <v>2</v>
      </c>
      <c r="T79" s="137" t="s">
        <v>8</v>
      </c>
      <c r="U79" s="136">
        <v>1</v>
      </c>
      <c r="V79" s="446"/>
      <c r="W79" s="446"/>
      <c r="X79" s="468"/>
      <c r="Y79" s="468"/>
      <c r="Z79" s="468"/>
      <c r="AA79" s="468"/>
      <c r="AB79" s="468"/>
      <c r="AC79" s="468"/>
      <c r="AD79" s="468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R79" s="151"/>
      <c r="AS79" s="151"/>
    </row>
    <row r="80" spans="2:45" ht="20.100000000000001" customHeight="1" x14ac:dyDescent="0.4">
      <c r="B80" s="442" t="str">
        <f ca="1">DBCS(INDIRECT("U10対戦スケジュール!A"&amp;(ROW())/2-10))</f>
        <v>④</v>
      </c>
      <c r="C80" s="461">
        <f ca="1">INDIRECT("U10対戦スケジュール!b"&amp;(ROW())/2-10)</f>
        <v>0.46559999999999996</v>
      </c>
      <c r="D80" s="462"/>
      <c r="E80" s="463"/>
      <c r="F80" s="449"/>
      <c r="G80" s="449"/>
      <c r="H80" s="449"/>
      <c r="I80" s="449"/>
      <c r="J80" s="467" t="str">
        <f ca="1">VLOOKUP(AR80,U10組合せ!$B$10:$I$17,3,TRUE)</f>
        <v>ISOSC</v>
      </c>
      <c r="K80" s="468"/>
      <c r="L80" s="468"/>
      <c r="M80" s="468"/>
      <c r="N80" s="468"/>
      <c r="O80" s="468"/>
      <c r="P80" s="468"/>
      <c r="Q80" s="446">
        <f>IF(OR(S80="",S81=""),"",S80+S81)</f>
        <v>0</v>
      </c>
      <c r="R80" s="446"/>
      <c r="S80" s="136">
        <v>0</v>
      </c>
      <c r="T80" s="137" t="s">
        <v>8</v>
      </c>
      <c r="U80" s="136">
        <v>1</v>
      </c>
      <c r="V80" s="446">
        <f>IF(OR(U80="",U81=""),"",U80+U81)</f>
        <v>1</v>
      </c>
      <c r="W80" s="446"/>
      <c r="X80" s="467" t="str">
        <f ca="1">VLOOKUP(AS80,U10組合せ!$B$10:$I$17,3,TRUE)</f>
        <v>FC グランディール</v>
      </c>
      <c r="Y80" s="468"/>
      <c r="Z80" s="468"/>
      <c r="AA80" s="468"/>
      <c r="AB80" s="468"/>
      <c r="AC80" s="468"/>
      <c r="AD80" s="468"/>
      <c r="AE80" s="449"/>
      <c r="AF80" s="449"/>
      <c r="AG80" s="449"/>
      <c r="AH80" s="449"/>
      <c r="AI80" s="446" t="str">
        <f ca="1">DBCS(INDIRECT("U10対戦スケジュール!f"&amp;(ROW())/2-10))</f>
        <v>５／１／１／５</v>
      </c>
      <c r="AJ80" s="449" t="str">
        <f t="shared" ca="1" si="2"/>
        <v>ブロック</v>
      </c>
      <c r="AK80" s="449" t="str">
        <f t="shared" ca="1" si="2"/>
        <v>ブロック</v>
      </c>
      <c r="AL80" s="449" t="str">
        <f t="shared" ca="1" si="2"/>
        <v>ブロック</v>
      </c>
      <c r="AM80" s="449" t="str">
        <f t="shared" ca="1" si="2"/>
        <v>ブロック</v>
      </c>
      <c r="AN80" s="449" t="str">
        <f t="shared" ca="1" si="2"/>
        <v>ブロック</v>
      </c>
      <c r="AO80" s="449" t="str">
        <f t="shared" ca="1" si="2"/>
        <v>ブロック</v>
      </c>
      <c r="AP80" s="449" t="str">
        <f t="shared" ca="1" si="2"/>
        <v>ブロック</v>
      </c>
      <c r="AR80" s="151">
        <f ca="1">VLOOKUP(B80,U10対戦スケジュール!A$27:F$30,3,TRUE)</f>
        <v>3</v>
      </c>
      <c r="AS80" s="151">
        <f ca="1">VLOOKUP(B80,U10対戦スケジュール!A$27:F$30,5)</f>
        <v>8</v>
      </c>
    </row>
    <row r="81" spans="1:45" ht="20.100000000000001" customHeight="1" x14ac:dyDescent="0.4">
      <c r="B81" s="442"/>
      <c r="C81" s="464"/>
      <c r="D81" s="465"/>
      <c r="E81" s="466"/>
      <c r="F81" s="449"/>
      <c r="G81" s="449"/>
      <c r="H81" s="449"/>
      <c r="I81" s="449"/>
      <c r="J81" s="468"/>
      <c r="K81" s="468"/>
      <c r="L81" s="468"/>
      <c r="M81" s="468"/>
      <c r="N81" s="468"/>
      <c r="O81" s="468"/>
      <c r="P81" s="468"/>
      <c r="Q81" s="446"/>
      <c r="R81" s="446"/>
      <c r="S81" s="136">
        <v>0</v>
      </c>
      <c r="T81" s="137" t="s">
        <v>8</v>
      </c>
      <c r="U81" s="136">
        <v>0</v>
      </c>
      <c r="V81" s="446"/>
      <c r="W81" s="446"/>
      <c r="X81" s="468"/>
      <c r="Y81" s="468"/>
      <c r="Z81" s="468"/>
      <c r="AA81" s="468"/>
      <c r="AB81" s="468"/>
      <c r="AC81" s="468"/>
      <c r="AD81" s="468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R81" s="151"/>
      <c r="AS81" s="151"/>
    </row>
    <row r="82" spans="1:45" ht="20.100000000000001" customHeight="1" x14ac:dyDescent="0.4">
      <c r="B82" s="442"/>
      <c r="C82" s="450"/>
      <c r="D82" s="450"/>
      <c r="E82" s="450"/>
      <c r="F82" s="449"/>
      <c r="G82" s="449"/>
      <c r="H82" s="449"/>
      <c r="I82" s="449"/>
      <c r="J82" s="447"/>
      <c r="K82" s="448"/>
      <c r="L82" s="448"/>
      <c r="M82" s="448"/>
      <c r="N82" s="448"/>
      <c r="O82" s="448"/>
      <c r="P82" s="448"/>
      <c r="Q82" s="446"/>
      <c r="R82" s="446"/>
      <c r="S82" s="136"/>
      <c r="T82" s="137"/>
      <c r="U82" s="136"/>
      <c r="V82" s="446"/>
      <c r="W82" s="446"/>
      <c r="X82" s="447"/>
      <c r="Y82" s="448"/>
      <c r="Z82" s="448"/>
      <c r="AA82" s="448"/>
      <c r="AB82" s="448"/>
      <c r="AC82" s="448"/>
      <c r="AD82" s="448"/>
      <c r="AE82" s="449"/>
      <c r="AF82" s="449"/>
      <c r="AG82" s="449"/>
      <c r="AH82" s="449"/>
      <c r="AI82" s="446"/>
      <c r="AJ82" s="449"/>
      <c r="AK82" s="449"/>
      <c r="AL82" s="449"/>
      <c r="AM82" s="449"/>
      <c r="AN82" s="449"/>
      <c r="AO82" s="449"/>
      <c r="AP82" s="449"/>
      <c r="AR82" s="151"/>
      <c r="AS82" s="151"/>
    </row>
    <row r="83" spans="1:45" ht="20.100000000000001" customHeight="1" x14ac:dyDescent="0.4">
      <c r="B83" s="442"/>
      <c r="C83" s="450"/>
      <c r="D83" s="450"/>
      <c r="E83" s="450"/>
      <c r="F83" s="449"/>
      <c r="G83" s="449"/>
      <c r="H83" s="449"/>
      <c r="I83" s="449"/>
      <c r="J83" s="448"/>
      <c r="K83" s="448"/>
      <c r="L83" s="448"/>
      <c r="M83" s="448"/>
      <c r="N83" s="448"/>
      <c r="O83" s="448"/>
      <c r="P83" s="448"/>
      <c r="Q83" s="446"/>
      <c r="R83" s="446"/>
      <c r="S83" s="136"/>
      <c r="T83" s="137"/>
      <c r="U83" s="136"/>
      <c r="V83" s="446"/>
      <c r="W83" s="446"/>
      <c r="X83" s="448"/>
      <c r="Y83" s="448"/>
      <c r="Z83" s="448"/>
      <c r="AA83" s="448"/>
      <c r="AB83" s="448"/>
      <c r="AC83" s="448"/>
      <c r="AD83" s="448"/>
      <c r="AE83" s="449"/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R83" s="151"/>
      <c r="AS83" s="151"/>
    </row>
    <row r="84" spans="1:45" ht="20.100000000000001" customHeight="1" x14ac:dyDescent="0.4">
      <c r="B84" s="442"/>
      <c r="C84" s="450"/>
      <c r="D84" s="450"/>
      <c r="E84" s="450"/>
      <c r="F84" s="449"/>
      <c r="G84" s="449"/>
      <c r="H84" s="449"/>
      <c r="I84" s="449"/>
      <c r="J84" s="447"/>
      <c r="K84" s="448"/>
      <c r="L84" s="448"/>
      <c r="M84" s="448"/>
      <c r="N84" s="448"/>
      <c r="O84" s="448"/>
      <c r="P84" s="448"/>
      <c r="Q84" s="446"/>
      <c r="R84" s="446"/>
      <c r="S84" s="136"/>
      <c r="T84" s="137"/>
      <c r="U84" s="136"/>
      <c r="V84" s="446"/>
      <c r="W84" s="446"/>
      <c r="X84" s="447"/>
      <c r="Y84" s="448"/>
      <c r="Z84" s="448"/>
      <c r="AA84" s="448"/>
      <c r="AB84" s="448"/>
      <c r="AC84" s="448"/>
      <c r="AD84" s="448"/>
      <c r="AE84" s="449"/>
      <c r="AF84" s="449"/>
      <c r="AG84" s="449"/>
      <c r="AH84" s="449"/>
      <c r="AI84" s="446"/>
      <c r="AJ84" s="449"/>
      <c r="AK84" s="449"/>
      <c r="AL84" s="449"/>
      <c r="AM84" s="449"/>
      <c r="AN84" s="449"/>
      <c r="AO84" s="449"/>
      <c r="AP84" s="449"/>
      <c r="AR84" s="151"/>
      <c r="AS84" s="151"/>
    </row>
    <row r="85" spans="1:45" ht="20.100000000000001" customHeight="1" x14ac:dyDescent="0.4">
      <c r="B85" s="442"/>
      <c r="C85" s="450"/>
      <c r="D85" s="450"/>
      <c r="E85" s="450"/>
      <c r="F85" s="449"/>
      <c r="G85" s="449"/>
      <c r="H85" s="449"/>
      <c r="I85" s="449"/>
      <c r="J85" s="448"/>
      <c r="K85" s="448"/>
      <c r="L85" s="448"/>
      <c r="M85" s="448"/>
      <c r="N85" s="448"/>
      <c r="O85" s="448"/>
      <c r="P85" s="448"/>
      <c r="Q85" s="446"/>
      <c r="R85" s="446"/>
      <c r="S85" s="136"/>
      <c r="T85" s="137"/>
      <c r="U85" s="136"/>
      <c r="V85" s="446"/>
      <c r="W85" s="446"/>
      <c r="X85" s="448"/>
      <c r="Y85" s="448"/>
      <c r="Z85" s="448"/>
      <c r="AA85" s="448"/>
      <c r="AB85" s="448"/>
      <c r="AC85" s="448"/>
      <c r="AD85" s="448"/>
      <c r="AE85" s="449"/>
      <c r="AF85" s="449"/>
      <c r="AG85" s="449"/>
      <c r="AH85" s="449"/>
      <c r="AI85" s="449"/>
      <c r="AJ85" s="449"/>
      <c r="AK85" s="449"/>
      <c r="AL85" s="449"/>
      <c r="AM85" s="449"/>
      <c r="AN85" s="449"/>
      <c r="AO85" s="449"/>
      <c r="AP85" s="449"/>
      <c r="AR85" s="151"/>
      <c r="AS85" s="151"/>
    </row>
    <row r="86" spans="1:45" ht="20.100000000000001" customHeight="1" x14ac:dyDescent="0.4">
      <c r="B86" s="442"/>
      <c r="C86" s="450"/>
      <c r="D86" s="450"/>
      <c r="E86" s="450"/>
      <c r="F86" s="449"/>
      <c r="G86" s="449"/>
      <c r="H86" s="449"/>
      <c r="I86" s="449"/>
      <c r="J86" s="447"/>
      <c r="K86" s="448"/>
      <c r="L86" s="448"/>
      <c r="M86" s="448"/>
      <c r="N86" s="448"/>
      <c r="O86" s="448"/>
      <c r="P86" s="448"/>
      <c r="Q86" s="446"/>
      <c r="R86" s="446"/>
      <c r="S86" s="136"/>
      <c r="T86" s="137"/>
      <c r="U86" s="136"/>
      <c r="V86" s="446"/>
      <c r="W86" s="446"/>
      <c r="X86" s="447"/>
      <c r="Y86" s="448"/>
      <c r="Z86" s="448"/>
      <c r="AA86" s="448"/>
      <c r="AB86" s="448"/>
      <c r="AC86" s="448"/>
      <c r="AD86" s="448"/>
      <c r="AE86" s="449"/>
      <c r="AF86" s="449"/>
      <c r="AG86" s="449"/>
      <c r="AH86" s="449"/>
      <c r="AI86" s="446"/>
      <c r="AJ86" s="449"/>
      <c r="AK86" s="449"/>
      <c r="AL86" s="449"/>
      <c r="AM86" s="449"/>
      <c r="AN86" s="449"/>
      <c r="AO86" s="449"/>
      <c r="AP86" s="449"/>
      <c r="AR86" s="151"/>
      <c r="AS86" s="151"/>
    </row>
    <row r="87" spans="1:45" ht="20.100000000000001" customHeight="1" x14ac:dyDescent="0.4">
      <c r="B87" s="442"/>
      <c r="C87" s="450"/>
      <c r="D87" s="450"/>
      <c r="E87" s="450"/>
      <c r="F87" s="449"/>
      <c r="G87" s="449"/>
      <c r="H87" s="449"/>
      <c r="I87" s="449"/>
      <c r="J87" s="448"/>
      <c r="K87" s="448"/>
      <c r="L87" s="448"/>
      <c r="M87" s="448"/>
      <c r="N87" s="448"/>
      <c r="O87" s="448"/>
      <c r="P87" s="448"/>
      <c r="Q87" s="446"/>
      <c r="R87" s="446"/>
      <c r="S87" s="136"/>
      <c r="T87" s="137"/>
      <c r="U87" s="136"/>
      <c r="V87" s="446"/>
      <c r="W87" s="446"/>
      <c r="X87" s="448"/>
      <c r="Y87" s="448"/>
      <c r="Z87" s="448"/>
      <c r="AA87" s="448"/>
      <c r="AB87" s="448"/>
      <c r="AC87" s="448"/>
      <c r="AD87" s="448"/>
      <c r="AE87" s="449"/>
      <c r="AF87" s="449"/>
      <c r="AG87" s="449"/>
      <c r="AH87" s="449"/>
      <c r="AI87" s="449"/>
      <c r="AJ87" s="449"/>
      <c r="AK87" s="449"/>
      <c r="AL87" s="449"/>
      <c r="AM87" s="449"/>
      <c r="AN87" s="449"/>
      <c r="AO87" s="449"/>
      <c r="AP87" s="449"/>
    </row>
    <row r="88" spans="1:45" ht="15.75" customHeight="1" x14ac:dyDescent="0.4">
      <c r="A88" s="138"/>
      <c r="B88" s="139"/>
      <c r="C88" s="140"/>
      <c r="D88" s="140"/>
      <c r="E88" s="140"/>
      <c r="F88" s="139"/>
      <c r="G88" s="139"/>
      <c r="H88" s="139"/>
      <c r="I88" s="139"/>
      <c r="J88" s="139"/>
      <c r="K88" s="141"/>
      <c r="L88" s="141"/>
      <c r="M88" s="142"/>
      <c r="N88" s="143"/>
      <c r="O88" s="142"/>
      <c r="P88" s="141"/>
      <c r="Q88" s="141"/>
      <c r="R88" s="139"/>
      <c r="S88" s="139"/>
      <c r="T88" s="139"/>
      <c r="U88" s="139"/>
      <c r="V88" s="139"/>
      <c r="W88" s="144"/>
      <c r="X88" s="144"/>
      <c r="Y88" s="144"/>
      <c r="Z88" s="144"/>
      <c r="AA88" s="144"/>
      <c r="AB88" s="144"/>
      <c r="AC88" s="138"/>
    </row>
    <row r="89" spans="1:45" ht="20.25" customHeight="1" x14ac:dyDescent="0.4">
      <c r="D89" s="442" t="s">
        <v>9</v>
      </c>
      <c r="E89" s="442"/>
      <c r="F89" s="442"/>
      <c r="G89" s="442"/>
      <c r="H89" s="442"/>
      <c r="I89" s="442"/>
      <c r="J89" s="442" t="s">
        <v>5</v>
      </c>
      <c r="K89" s="442"/>
      <c r="L89" s="442"/>
      <c r="M89" s="442"/>
      <c r="N89" s="442"/>
      <c r="O89" s="442"/>
      <c r="P89" s="442"/>
      <c r="Q89" s="442"/>
      <c r="R89" s="443" t="s">
        <v>10</v>
      </c>
      <c r="S89" s="443"/>
      <c r="T89" s="443"/>
      <c r="U89" s="443"/>
      <c r="V89" s="443"/>
      <c r="W89" s="443"/>
      <c r="X89" s="443"/>
      <c r="Y89" s="443"/>
      <c r="Z89" s="443"/>
      <c r="AA89" s="444" t="s">
        <v>11</v>
      </c>
      <c r="AB89" s="444"/>
      <c r="AC89" s="444"/>
      <c r="AD89" s="444" t="s">
        <v>12</v>
      </c>
      <c r="AE89" s="444"/>
      <c r="AF89" s="444"/>
      <c r="AG89" s="444"/>
      <c r="AH89" s="444"/>
      <c r="AI89" s="444"/>
      <c r="AJ89" s="444"/>
      <c r="AK89" s="444"/>
      <c r="AL89" s="444"/>
      <c r="AM89" s="444"/>
    </row>
    <row r="90" spans="1:45" ht="30" customHeight="1" x14ac:dyDescent="0.4">
      <c r="D90" s="442" t="s">
        <v>13</v>
      </c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3"/>
      <c r="S90" s="443"/>
      <c r="T90" s="443"/>
      <c r="U90" s="443"/>
      <c r="V90" s="443"/>
      <c r="W90" s="443"/>
      <c r="X90" s="443"/>
      <c r="Y90" s="443"/>
      <c r="Z90" s="443"/>
      <c r="AA90" s="445"/>
      <c r="AB90" s="445"/>
      <c r="AC90" s="445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</row>
    <row r="91" spans="1:45" ht="30" customHeight="1" x14ac:dyDescent="0.4">
      <c r="D91" s="442" t="s">
        <v>13</v>
      </c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3"/>
      <c r="S91" s="443"/>
      <c r="T91" s="443"/>
      <c r="U91" s="443"/>
      <c r="V91" s="443"/>
      <c r="W91" s="443"/>
      <c r="X91" s="443"/>
      <c r="Y91" s="443"/>
      <c r="Z91" s="443"/>
      <c r="AA91" s="444"/>
      <c r="AB91" s="444"/>
      <c r="AC91" s="444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</row>
    <row r="92" spans="1:45" ht="30" customHeight="1" x14ac:dyDescent="0.4">
      <c r="D92" s="442" t="s">
        <v>13</v>
      </c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3"/>
      <c r="S92" s="443"/>
      <c r="T92" s="443"/>
      <c r="U92" s="443"/>
      <c r="V92" s="443"/>
      <c r="W92" s="443"/>
      <c r="X92" s="443"/>
      <c r="Y92" s="443"/>
      <c r="Z92" s="443"/>
      <c r="AA92" s="444"/>
      <c r="AB92" s="444"/>
      <c r="AC92" s="444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</row>
    <row r="93" spans="1:45" ht="14.25" customHeight="1" x14ac:dyDescent="0.4">
      <c r="A93" s="274"/>
      <c r="B93" s="274"/>
    </row>
    <row r="94" spans="1:45" ht="14.25" customHeight="1" x14ac:dyDescent="0.4">
      <c r="A94" s="274"/>
      <c r="B94" s="489" t="str">
        <f>U10組合せ!$B$1</f>
        <v>ＪＦＡ　Ｕ-１０サッカーリーグ2021（in栃木） 宇都宮地区リーグ戦（前期）</v>
      </c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  <c r="R94" s="489"/>
      <c r="S94" s="489"/>
      <c r="T94" s="489"/>
      <c r="U94" s="489"/>
      <c r="V94" s="489"/>
      <c r="W94" s="489"/>
      <c r="X94" s="489"/>
      <c r="Y94" s="489"/>
      <c r="Z94" s="489"/>
      <c r="AA94" s="489"/>
      <c r="AB94" s="489"/>
      <c r="AC94" s="490" t="str">
        <f>"【"&amp;(U10組合せ!$D$3)&amp;"】"</f>
        <v>【Ａ ブロック】</v>
      </c>
      <c r="AD94" s="490"/>
      <c r="AE94" s="490"/>
      <c r="AF94" s="490"/>
      <c r="AG94" s="490"/>
      <c r="AH94" s="490"/>
      <c r="AI94" s="490"/>
      <c r="AJ94" s="490"/>
      <c r="AK94" s="490" t="str">
        <f>"第"&amp;(U10組合せ!$D$25)</f>
        <v>第２節</v>
      </c>
      <c r="AL94" s="490"/>
      <c r="AM94" s="490"/>
      <c r="AN94" s="490"/>
      <c r="AO94" s="490"/>
      <c r="AP94" s="491" t="s">
        <v>196</v>
      </c>
      <c r="AQ94" s="492"/>
    </row>
    <row r="95" spans="1:45" ht="20.25" customHeight="1" x14ac:dyDescent="0.4">
      <c r="A95" s="274"/>
      <c r="B95" s="489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90"/>
      <c r="AD95" s="490"/>
      <c r="AE95" s="490"/>
      <c r="AF95" s="490"/>
      <c r="AG95" s="490"/>
      <c r="AH95" s="490"/>
      <c r="AI95" s="490"/>
      <c r="AJ95" s="490"/>
      <c r="AK95" s="490"/>
      <c r="AL95" s="490"/>
      <c r="AM95" s="490"/>
      <c r="AN95" s="490"/>
      <c r="AO95" s="490"/>
      <c r="AP95" s="492"/>
      <c r="AQ95" s="492"/>
      <c r="AR95" s="274"/>
      <c r="AS95" s="274"/>
    </row>
    <row r="96" spans="1:45" ht="27.75" customHeight="1" x14ac:dyDescent="0.4">
      <c r="C96" s="477" t="s">
        <v>1</v>
      </c>
      <c r="D96" s="477"/>
      <c r="E96" s="477"/>
      <c r="F96" s="477"/>
      <c r="G96" s="478" t="str">
        <f>U10対戦スケジュール!C33</f>
        <v>上河内西小</v>
      </c>
      <c r="H96" s="479"/>
      <c r="I96" s="479"/>
      <c r="J96" s="479"/>
      <c r="K96" s="479"/>
      <c r="L96" s="479"/>
      <c r="M96" s="479"/>
      <c r="N96" s="479"/>
      <c r="O96" s="480"/>
      <c r="P96" s="477" t="s">
        <v>0</v>
      </c>
      <c r="Q96" s="477"/>
      <c r="R96" s="477"/>
      <c r="S96" s="477"/>
      <c r="T96" s="481" t="str">
        <f>AG98</f>
        <v>上河内JSC</v>
      </c>
      <c r="U96" s="481"/>
      <c r="V96" s="481"/>
      <c r="W96" s="481"/>
      <c r="X96" s="481"/>
      <c r="Y96" s="481"/>
      <c r="Z96" s="481"/>
      <c r="AA96" s="481"/>
      <c r="AB96" s="481"/>
      <c r="AC96" s="477" t="s">
        <v>2</v>
      </c>
      <c r="AD96" s="477"/>
      <c r="AE96" s="477"/>
      <c r="AF96" s="477"/>
      <c r="AG96" s="482">
        <f>U10組合せ!B25</f>
        <v>44310</v>
      </c>
      <c r="AH96" s="483"/>
      <c r="AI96" s="483"/>
      <c r="AJ96" s="483"/>
      <c r="AK96" s="483"/>
      <c r="AL96" s="483"/>
      <c r="AM96" s="484" t="str">
        <f>"（"&amp;TEXT(AG96,"aaa")&amp;"）"</f>
        <v>（土）</v>
      </c>
      <c r="AN96" s="484"/>
      <c r="AO96" s="485"/>
    </row>
    <row r="97" spans="2:51" ht="15" customHeight="1" x14ac:dyDescent="0.4">
      <c r="C97" s="134" t="str">
        <f>U10組合せ!E28</f>
        <v>A2467</v>
      </c>
      <c r="D97" s="138"/>
      <c r="E97" s="138"/>
      <c r="F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3"/>
      <c r="X97" s="133"/>
      <c r="Y97" s="133"/>
      <c r="Z97" s="133"/>
      <c r="AA97" s="133"/>
      <c r="AB97" s="133"/>
      <c r="AC97" s="133"/>
    </row>
    <row r="98" spans="2:51" s="152" customFormat="1" ht="29.25" customHeight="1" x14ac:dyDescent="0.4">
      <c r="C98" s="472">
        <v>1</v>
      </c>
      <c r="D98" s="472"/>
      <c r="E98" s="473" t="str">
        <f>VLOOKUP(C98,U10組合せ!$B$10:$I$17,3,TRUE)</f>
        <v>富士見SSS</v>
      </c>
      <c r="F98" s="473"/>
      <c r="G98" s="473"/>
      <c r="H98" s="473"/>
      <c r="I98" s="473"/>
      <c r="J98" s="473"/>
      <c r="K98" s="473"/>
      <c r="L98" s="473"/>
      <c r="M98" s="473"/>
      <c r="N98" s="473"/>
      <c r="O98" s="153"/>
      <c r="P98" s="153"/>
      <c r="Q98" s="474">
        <v>4</v>
      </c>
      <c r="R98" s="474"/>
      <c r="S98" s="475" t="str">
        <f>VLOOKUP(Q98,U10組合せ!$B$10:$I$17,3,TRUE)</f>
        <v>清原シザース</v>
      </c>
      <c r="T98" s="475"/>
      <c r="U98" s="475"/>
      <c r="V98" s="475"/>
      <c r="W98" s="475"/>
      <c r="X98" s="475"/>
      <c r="Y98" s="475"/>
      <c r="Z98" s="475"/>
      <c r="AA98" s="475"/>
      <c r="AB98" s="475"/>
      <c r="AC98" s="154"/>
      <c r="AD98" s="146"/>
      <c r="AE98" s="474">
        <v>7</v>
      </c>
      <c r="AF98" s="474"/>
      <c r="AG98" s="475" t="str">
        <f>VLOOKUP(AE98,U10組合せ!$B$10:$I$17,3,TRUE)</f>
        <v>上河内JSC</v>
      </c>
      <c r="AH98" s="475"/>
      <c r="AI98" s="475"/>
      <c r="AJ98" s="475"/>
      <c r="AK98" s="475"/>
      <c r="AL98" s="475"/>
      <c r="AM98" s="475"/>
      <c r="AN98" s="475"/>
      <c r="AO98" s="475"/>
      <c r="AP98" s="475"/>
      <c r="AR98" s="152">
        <f>104/2</f>
        <v>52</v>
      </c>
    </row>
    <row r="99" spans="2:51" s="152" customFormat="1" ht="29.25" customHeight="1" x14ac:dyDescent="0.4">
      <c r="C99" s="474">
        <v>2</v>
      </c>
      <c r="D99" s="474"/>
      <c r="E99" s="475" t="str">
        <f>VLOOKUP(C99,U10組合せ!$B$10:$I$17,3,TRUE)</f>
        <v>unionscU10</v>
      </c>
      <c r="F99" s="475"/>
      <c r="G99" s="475"/>
      <c r="H99" s="475"/>
      <c r="I99" s="475"/>
      <c r="J99" s="475"/>
      <c r="K99" s="475"/>
      <c r="L99" s="475"/>
      <c r="M99" s="475"/>
      <c r="N99" s="475"/>
      <c r="O99" s="153"/>
      <c r="P99" s="153"/>
      <c r="Q99" s="472">
        <v>5</v>
      </c>
      <c r="R99" s="472"/>
      <c r="S99" s="473" t="str">
        <f>VLOOKUP(Q99,U10組合せ!$B$10:$I$17,3,TRUE)</f>
        <v>サウス宇都宮SC</v>
      </c>
      <c r="T99" s="473"/>
      <c r="U99" s="473"/>
      <c r="V99" s="473"/>
      <c r="W99" s="473"/>
      <c r="X99" s="473"/>
      <c r="Y99" s="473"/>
      <c r="Z99" s="473"/>
      <c r="AA99" s="473"/>
      <c r="AB99" s="473"/>
      <c r="AC99" s="154"/>
      <c r="AD99" s="146"/>
      <c r="AE99" s="472">
        <v>8</v>
      </c>
      <c r="AF99" s="472"/>
      <c r="AG99" s="473" t="str">
        <f>VLOOKUP(AE99,U10組合せ!$B$10:$I$17,3,TRUE)</f>
        <v>FC グランディール</v>
      </c>
      <c r="AH99" s="473"/>
      <c r="AI99" s="473"/>
      <c r="AJ99" s="473"/>
      <c r="AK99" s="473"/>
      <c r="AL99" s="473"/>
      <c r="AM99" s="473"/>
      <c r="AN99" s="473"/>
      <c r="AO99" s="473"/>
      <c r="AP99" s="473"/>
      <c r="AR99" s="152">
        <v>35</v>
      </c>
    </row>
    <row r="100" spans="2:51" s="152" customFormat="1" ht="29.25" customHeight="1" x14ac:dyDescent="0.4">
      <c r="C100" s="472">
        <v>3</v>
      </c>
      <c r="D100" s="472"/>
      <c r="E100" s="473" t="str">
        <f>VLOOKUP(C100,U10組合せ!$B$10:$I$17,3,TRUE)</f>
        <v>ISOSC</v>
      </c>
      <c r="F100" s="473"/>
      <c r="G100" s="473"/>
      <c r="H100" s="473"/>
      <c r="I100" s="473"/>
      <c r="J100" s="473"/>
      <c r="K100" s="473"/>
      <c r="L100" s="473"/>
      <c r="M100" s="473"/>
      <c r="N100" s="473"/>
      <c r="O100" s="153"/>
      <c r="P100" s="153"/>
      <c r="Q100" s="474">
        <v>6</v>
      </c>
      <c r="R100" s="474"/>
      <c r="S100" s="475" t="str">
        <f>VLOOKUP(Q100,U10組合せ!$B$10:$I$17,3,TRUE)</f>
        <v>ともぞうSC U10</v>
      </c>
      <c r="T100" s="475"/>
      <c r="U100" s="475"/>
      <c r="V100" s="475"/>
      <c r="W100" s="475"/>
      <c r="X100" s="475"/>
      <c r="Y100" s="475"/>
      <c r="Z100" s="475"/>
      <c r="AA100" s="475"/>
      <c r="AB100" s="475"/>
      <c r="AC100" s="154"/>
      <c r="AD100" s="146"/>
      <c r="AE100" s="472">
        <v>9</v>
      </c>
      <c r="AF100" s="472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R100" s="152">
        <f>AR98-AR99</f>
        <v>17</v>
      </c>
    </row>
    <row r="101" spans="2:51" ht="6.75" customHeight="1" x14ac:dyDescent="0.4">
      <c r="O101" s="138"/>
      <c r="P101" s="138"/>
      <c r="AC101" s="133"/>
    </row>
    <row r="102" spans="2:51" ht="6.75" customHeight="1" x14ac:dyDescent="0.4">
      <c r="C102" s="149"/>
      <c r="D102" s="150"/>
      <c r="E102" s="150"/>
      <c r="F102" s="150"/>
      <c r="G102" s="150"/>
      <c r="H102" s="150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50"/>
      <c r="U102" s="138"/>
      <c r="V102" s="150"/>
      <c r="W102" s="138"/>
      <c r="X102" s="150"/>
      <c r="Y102" s="138"/>
      <c r="Z102" s="150"/>
      <c r="AA102" s="138"/>
      <c r="AB102" s="150"/>
      <c r="AC102" s="150"/>
    </row>
    <row r="103" spans="2:51" ht="21" customHeight="1" x14ac:dyDescent="0.4">
      <c r="B103" s="134" t="s">
        <v>181</v>
      </c>
    </row>
    <row r="104" spans="2:51" ht="20.25" customHeight="1" x14ac:dyDescent="0.4">
      <c r="B104" s="135"/>
      <c r="C104" s="469" t="s">
        <v>3</v>
      </c>
      <c r="D104" s="469"/>
      <c r="E104" s="469"/>
      <c r="F104" s="470" t="s">
        <v>4</v>
      </c>
      <c r="G104" s="470"/>
      <c r="H104" s="470"/>
      <c r="I104" s="470"/>
      <c r="J104" s="469" t="s">
        <v>5</v>
      </c>
      <c r="K104" s="471"/>
      <c r="L104" s="471"/>
      <c r="M104" s="471"/>
      <c r="N104" s="471"/>
      <c r="O104" s="471"/>
      <c r="P104" s="471"/>
      <c r="Q104" s="469" t="s">
        <v>40</v>
      </c>
      <c r="R104" s="469"/>
      <c r="S104" s="469"/>
      <c r="T104" s="469"/>
      <c r="U104" s="469"/>
      <c r="V104" s="469"/>
      <c r="W104" s="469"/>
      <c r="X104" s="469" t="s">
        <v>5</v>
      </c>
      <c r="Y104" s="471"/>
      <c r="Z104" s="471"/>
      <c r="AA104" s="471"/>
      <c r="AB104" s="471"/>
      <c r="AC104" s="471"/>
      <c r="AD104" s="471"/>
      <c r="AE104" s="470" t="s">
        <v>4</v>
      </c>
      <c r="AF104" s="470"/>
      <c r="AG104" s="470"/>
      <c r="AH104" s="470"/>
      <c r="AI104" s="469" t="s">
        <v>7</v>
      </c>
      <c r="AJ104" s="469"/>
      <c r="AK104" s="471"/>
      <c r="AL104" s="471"/>
      <c r="AM104" s="471"/>
      <c r="AN104" s="471"/>
      <c r="AO104" s="471"/>
      <c r="AP104" s="471"/>
    </row>
    <row r="105" spans="2:51" ht="20.100000000000001" customHeight="1" x14ac:dyDescent="0.4">
      <c r="B105" s="442" t="str">
        <f ca="1">DBCS(INDIRECT("U10対戦スケジュール!A"&amp;(ROW()-1)/2-AR$100))</f>
        <v>①</v>
      </c>
      <c r="C105" s="461">
        <f ca="1">INDIRECT("U10対戦スケジュール!b"&amp;(ROW()-1)/2-AR$100)</f>
        <v>0.375</v>
      </c>
      <c r="D105" s="462"/>
      <c r="E105" s="463"/>
      <c r="F105" s="449"/>
      <c r="G105" s="449"/>
      <c r="H105" s="449"/>
      <c r="I105" s="449"/>
      <c r="J105" s="467" t="str">
        <f ca="1">VLOOKUP(AR105,U10組合せ!$B$10:$I$17,3,TRUE)</f>
        <v>unionscU10</v>
      </c>
      <c r="K105" s="468"/>
      <c r="L105" s="468"/>
      <c r="M105" s="468"/>
      <c r="N105" s="468"/>
      <c r="O105" s="468"/>
      <c r="P105" s="468"/>
      <c r="Q105" s="446">
        <f>IF(OR(S105="",S106=""),"",S105+S106)</f>
        <v>5</v>
      </c>
      <c r="R105" s="446"/>
      <c r="S105" s="136">
        <v>3</v>
      </c>
      <c r="T105" s="137" t="s">
        <v>8</v>
      </c>
      <c r="U105" s="136">
        <v>0</v>
      </c>
      <c r="V105" s="446">
        <f>IF(OR(U105="",U106=""),"",U105+U106)</f>
        <v>0</v>
      </c>
      <c r="W105" s="446"/>
      <c r="X105" s="467" t="str">
        <f ca="1">VLOOKUP(AS105,U10組合せ!$B$10:$I$17,3,TRUE)</f>
        <v>清原シザース</v>
      </c>
      <c r="Y105" s="468"/>
      <c r="Z105" s="468"/>
      <c r="AA105" s="468"/>
      <c r="AB105" s="468"/>
      <c r="AC105" s="468"/>
      <c r="AD105" s="468"/>
      <c r="AE105" s="449"/>
      <c r="AF105" s="449"/>
      <c r="AG105" s="449"/>
      <c r="AH105" s="449"/>
      <c r="AI105" s="446" t="str">
        <f ca="1">DBCS(INDIRECT("U10対戦スケジュール!f"&amp;(ROW()-1)/2-AR$100))</f>
        <v>７／６／６／７</v>
      </c>
      <c r="AJ105" s="449" t="e">
        <f t="shared" ref="AJ105:AP111" ca="1" si="3">DBCS(INDIRECT("U10対戦スケジュール!A"&amp;(ROW())/2+2))</f>
        <v>#REF!</v>
      </c>
      <c r="AK105" s="449" t="e">
        <f t="shared" ca="1" si="3"/>
        <v>#REF!</v>
      </c>
      <c r="AL105" s="449" t="e">
        <f t="shared" ca="1" si="3"/>
        <v>#REF!</v>
      </c>
      <c r="AM105" s="449" t="e">
        <f t="shared" ca="1" si="3"/>
        <v>#REF!</v>
      </c>
      <c r="AN105" s="449" t="e">
        <f t="shared" ca="1" si="3"/>
        <v>#REF!</v>
      </c>
      <c r="AO105" s="449" t="e">
        <f t="shared" ca="1" si="3"/>
        <v>#REF!</v>
      </c>
      <c r="AP105" s="449" t="e">
        <f t="shared" ca="1" si="3"/>
        <v>#REF!</v>
      </c>
      <c r="AR105" s="134">
        <f ca="1">VLOOKUP(B105,U10対戦スケジュール!A$35:F$38,3,TRUE)</f>
        <v>2</v>
      </c>
      <c r="AS105" s="134">
        <f ca="1">VLOOKUP(B105,U10対戦スケジュール!A$35:F$38,5,TRUE)</f>
        <v>4</v>
      </c>
      <c r="AU105" s="138"/>
      <c r="AV105" s="138"/>
      <c r="AW105" s="138"/>
      <c r="AX105" s="138"/>
      <c r="AY105" s="138"/>
    </row>
    <row r="106" spans="2:51" ht="20.100000000000001" customHeight="1" x14ac:dyDescent="0.4">
      <c r="B106" s="442"/>
      <c r="C106" s="464"/>
      <c r="D106" s="465"/>
      <c r="E106" s="466"/>
      <c r="F106" s="449"/>
      <c r="G106" s="449"/>
      <c r="H106" s="449"/>
      <c r="I106" s="449"/>
      <c r="J106" s="468"/>
      <c r="K106" s="468"/>
      <c r="L106" s="468"/>
      <c r="M106" s="468"/>
      <c r="N106" s="468"/>
      <c r="O106" s="468"/>
      <c r="P106" s="468"/>
      <c r="Q106" s="446"/>
      <c r="R106" s="446"/>
      <c r="S106" s="136">
        <v>2</v>
      </c>
      <c r="T106" s="137" t="s">
        <v>8</v>
      </c>
      <c r="U106" s="136">
        <v>0</v>
      </c>
      <c r="V106" s="446"/>
      <c r="W106" s="446"/>
      <c r="X106" s="468"/>
      <c r="Y106" s="468"/>
      <c r="Z106" s="468"/>
      <c r="AA106" s="468"/>
      <c r="AB106" s="468"/>
      <c r="AC106" s="468"/>
      <c r="AD106" s="468"/>
      <c r="AE106" s="449"/>
      <c r="AF106" s="449"/>
      <c r="AG106" s="449"/>
      <c r="AH106" s="449"/>
      <c r="AI106" s="449"/>
      <c r="AJ106" s="449"/>
      <c r="AK106" s="449"/>
      <c r="AL106" s="449"/>
      <c r="AM106" s="449"/>
      <c r="AN106" s="449"/>
      <c r="AO106" s="449"/>
      <c r="AP106" s="449"/>
      <c r="AU106" s="138"/>
      <c r="AV106" s="138"/>
      <c r="AW106" s="138"/>
      <c r="AX106" s="138"/>
      <c r="AY106" s="138"/>
    </row>
    <row r="107" spans="2:51" ht="20.100000000000001" customHeight="1" x14ac:dyDescent="0.4">
      <c r="B107" s="442" t="str">
        <f ca="1">DBCS(INDIRECT("U10対戦スケジュール!A"&amp;(ROW()-1)/2-AR$100))</f>
        <v>②</v>
      </c>
      <c r="C107" s="461">
        <f ca="1">INDIRECT("U10対戦スケジュール!b"&amp;(ROW()-1)/2-AR$100)</f>
        <v>0.40279999999999999</v>
      </c>
      <c r="D107" s="462"/>
      <c r="E107" s="463"/>
      <c r="F107" s="449"/>
      <c r="G107" s="449"/>
      <c r="H107" s="449"/>
      <c r="I107" s="449"/>
      <c r="J107" s="467" t="str">
        <f ca="1">VLOOKUP(AR107,U10組合せ!$B$10:$I$17,3,TRUE)</f>
        <v>ともぞうSC U10</v>
      </c>
      <c r="K107" s="468"/>
      <c r="L107" s="468"/>
      <c r="M107" s="468"/>
      <c r="N107" s="468"/>
      <c r="O107" s="468"/>
      <c r="P107" s="468"/>
      <c r="Q107" s="446">
        <f>IF(OR(S107="",S108=""),"",S107+S108)</f>
        <v>3</v>
      </c>
      <c r="R107" s="446"/>
      <c r="S107" s="136">
        <v>3</v>
      </c>
      <c r="T107" s="137" t="s">
        <v>8</v>
      </c>
      <c r="U107" s="136">
        <v>0</v>
      </c>
      <c r="V107" s="446">
        <f>IF(OR(U107="",U108=""),"",U107+U108)</f>
        <v>3</v>
      </c>
      <c r="W107" s="446"/>
      <c r="X107" s="467" t="str">
        <f ca="1">VLOOKUP(AS107,U10組合せ!$B$10:$I$17,3,TRUE)</f>
        <v>上河内JSC</v>
      </c>
      <c r="Y107" s="468"/>
      <c r="Z107" s="468"/>
      <c r="AA107" s="468"/>
      <c r="AB107" s="468"/>
      <c r="AC107" s="468"/>
      <c r="AD107" s="468"/>
      <c r="AE107" s="449"/>
      <c r="AF107" s="449"/>
      <c r="AG107" s="449"/>
      <c r="AH107" s="449"/>
      <c r="AI107" s="446" t="str">
        <f ca="1">DBCS(INDIRECT("U10対戦スケジュール!f"&amp;(ROW()-1)/2-AR$100))</f>
        <v>２／４／４／２</v>
      </c>
      <c r="AJ107" s="449" t="e">
        <f t="shared" ca="1" si="3"/>
        <v>#REF!</v>
      </c>
      <c r="AK107" s="449" t="e">
        <f t="shared" ca="1" si="3"/>
        <v>#REF!</v>
      </c>
      <c r="AL107" s="449" t="e">
        <f t="shared" ca="1" si="3"/>
        <v>#REF!</v>
      </c>
      <c r="AM107" s="449" t="e">
        <f t="shared" ca="1" si="3"/>
        <v>#REF!</v>
      </c>
      <c r="AN107" s="449" t="e">
        <f t="shared" ca="1" si="3"/>
        <v>#REF!</v>
      </c>
      <c r="AO107" s="449" t="e">
        <f t="shared" ca="1" si="3"/>
        <v>#REF!</v>
      </c>
      <c r="AP107" s="449" t="e">
        <f t="shared" ca="1" si="3"/>
        <v>#REF!</v>
      </c>
      <c r="AR107" s="134">
        <f ca="1">VLOOKUP(B107,U10対戦スケジュール!A$35:F$38,3,TRUE)</f>
        <v>6</v>
      </c>
      <c r="AS107" s="134">
        <f ca="1">VLOOKUP(B107,U10対戦スケジュール!A$35:F$38,5,TRUE)</f>
        <v>7</v>
      </c>
    </row>
    <row r="108" spans="2:51" ht="20.100000000000001" customHeight="1" x14ac:dyDescent="0.4">
      <c r="B108" s="442"/>
      <c r="C108" s="464"/>
      <c r="D108" s="465"/>
      <c r="E108" s="466"/>
      <c r="F108" s="449"/>
      <c r="G108" s="449"/>
      <c r="H108" s="449"/>
      <c r="I108" s="449"/>
      <c r="J108" s="468"/>
      <c r="K108" s="468"/>
      <c r="L108" s="468"/>
      <c r="M108" s="468"/>
      <c r="N108" s="468"/>
      <c r="O108" s="468"/>
      <c r="P108" s="468"/>
      <c r="Q108" s="446"/>
      <c r="R108" s="446"/>
      <c r="S108" s="136">
        <v>0</v>
      </c>
      <c r="T108" s="137" t="s">
        <v>8</v>
      </c>
      <c r="U108" s="136">
        <v>3</v>
      </c>
      <c r="V108" s="446"/>
      <c r="W108" s="446"/>
      <c r="X108" s="468"/>
      <c r="Y108" s="468"/>
      <c r="Z108" s="468"/>
      <c r="AA108" s="468"/>
      <c r="AB108" s="468"/>
      <c r="AC108" s="468"/>
      <c r="AD108" s="468"/>
      <c r="AE108" s="449"/>
      <c r="AF108" s="449"/>
      <c r="AG108" s="449"/>
      <c r="AH108" s="449"/>
      <c r="AI108" s="449"/>
      <c r="AJ108" s="449"/>
      <c r="AK108" s="449"/>
      <c r="AL108" s="449"/>
      <c r="AM108" s="449"/>
      <c r="AN108" s="449"/>
      <c r="AO108" s="449"/>
      <c r="AP108" s="449"/>
    </row>
    <row r="109" spans="2:51" ht="20.100000000000001" customHeight="1" x14ac:dyDescent="0.4">
      <c r="B109" s="442" t="str">
        <f ca="1">DBCS(INDIRECT("U10対戦スケジュール!A"&amp;(ROW()-1)/2-AR$100))</f>
        <v>③</v>
      </c>
      <c r="C109" s="461">
        <f ca="1">INDIRECT("U10対戦スケジュール!b"&amp;(ROW()-1)/2-AR$100)</f>
        <v>0.43779999999999997</v>
      </c>
      <c r="D109" s="462"/>
      <c r="E109" s="463"/>
      <c r="F109" s="449"/>
      <c r="G109" s="449"/>
      <c r="H109" s="449"/>
      <c r="I109" s="449"/>
      <c r="J109" s="467" t="str">
        <f ca="1">VLOOKUP(AR109,U10組合せ!$B$10:$I$17,3,TRUE)</f>
        <v>ともぞうSC U10</v>
      </c>
      <c r="K109" s="468"/>
      <c r="L109" s="468"/>
      <c r="M109" s="468"/>
      <c r="N109" s="468"/>
      <c r="O109" s="468"/>
      <c r="P109" s="468"/>
      <c r="Q109" s="446">
        <f>IF(OR(S109="",S110=""),"",S109+S110)</f>
        <v>1</v>
      </c>
      <c r="R109" s="446"/>
      <c r="S109" s="136">
        <v>1</v>
      </c>
      <c r="T109" s="137" t="s">
        <v>8</v>
      </c>
      <c r="U109" s="136">
        <v>2</v>
      </c>
      <c r="V109" s="446">
        <f>IF(OR(U109="",U110=""),"",U109+U110)</f>
        <v>4</v>
      </c>
      <c r="W109" s="446"/>
      <c r="X109" s="467" t="str">
        <f ca="1">VLOOKUP(AS109,U10組合せ!$B$10:$I$17,3,TRUE)</f>
        <v>unionscU10</v>
      </c>
      <c r="Y109" s="468"/>
      <c r="Z109" s="468"/>
      <c r="AA109" s="468"/>
      <c r="AB109" s="468"/>
      <c r="AC109" s="468"/>
      <c r="AD109" s="468"/>
      <c r="AE109" s="449"/>
      <c r="AF109" s="449"/>
      <c r="AG109" s="449"/>
      <c r="AH109" s="449"/>
      <c r="AI109" s="446" t="str">
        <f ca="1">DBCS(INDIRECT("U10対戦スケジュール!f"&amp;(ROW()-1)/2-AR$100))</f>
        <v>４／７／７／４</v>
      </c>
      <c r="AJ109" s="449" t="e">
        <f t="shared" ca="1" si="3"/>
        <v>#REF!</v>
      </c>
      <c r="AK109" s="449" t="e">
        <f t="shared" ca="1" si="3"/>
        <v>#REF!</v>
      </c>
      <c r="AL109" s="449" t="e">
        <f t="shared" ca="1" si="3"/>
        <v>#REF!</v>
      </c>
      <c r="AM109" s="449" t="e">
        <f t="shared" ca="1" si="3"/>
        <v>#REF!</v>
      </c>
      <c r="AN109" s="449" t="e">
        <f t="shared" ca="1" si="3"/>
        <v>#REF!</v>
      </c>
      <c r="AO109" s="449" t="e">
        <f t="shared" ca="1" si="3"/>
        <v>#REF!</v>
      </c>
      <c r="AP109" s="449" t="e">
        <f t="shared" ca="1" si="3"/>
        <v>#REF!</v>
      </c>
      <c r="AR109" s="134">
        <f ca="1">VLOOKUP(B109,U10対戦スケジュール!A$35:F$38,3,TRUE)</f>
        <v>6</v>
      </c>
      <c r="AS109" s="134">
        <f ca="1">VLOOKUP(B109,U10対戦スケジュール!A$35:F$38,5,TRUE)</f>
        <v>2</v>
      </c>
    </row>
    <row r="110" spans="2:51" ht="20.100000000000001" customHeight="1" x14ac:dyDescent="0.4">
      <c r="B110" s="442"/>
      <c r="C110" s="464"/>
      <c r="D110" s="465"/>
      <c r="E110" s="466"/>
      <c r="F110" s="449"/>
      <c r="G110" s="449"/>
      <c r="H110" s="449"/>
      <c r="I110" s="449"/>
      <c r="J110" s="468"/>
      <c r="K110" s="468"/>
      <c r="L110" s="468"/>
      <c r="M110" s="468"/>
      <c r="N110" s="468"/>
      <c r="O110" s="468"/>
      <c r="P110" s="468"/>
      <c r="Q110" s="446"/>
      <c r="R110" s="446"/>
      <c r="S110" s="136">
        <v>0</v>
      </c>
      <c r="T110" s="137" t="s">
        <v>8</v>
      </c>
      <c r="U110" s="136">
        <v>2</v>
      </c>
      <c r="V110" s="446"/>
      <c r="W110" s="446"/>
      <c r="X110" s="468"/>
      <c r="Y110" s="468"/>
      <c r="Z110" s="468"/>
      <c r="AA110" s="468"/>
      <c r="AB110" s="468"/>
      <c r="AC110" s="468"/>
      <c r="AD110" s="468"/>
      <c r="AE110" s="449"/>
      <c r="AF110" s="449"/>
      <c r="AG110" s="449"/>
      <c r="AH110" s="449"/>
      <c r="AI110" s="449"/>
      <c r="AJ110" s="449"/>
      <c r="AK110" s="449"/>
      <c r="AL110" s="449"/>
      <c r="AM110" s="449"/>
      <c r="AN110" s="449"/>
      <c r="AO110" s="449"/>
      <c r="AP110" s="449"/>
    </row>
    <row r="111" spans="2:51" ht="18" customHeight="1" x14ac:dyDescent="0.4">
      <c r="B111" s="442" t="str">
        <f ca="1">DBCS(INDIRECT("U10対戦スケジュール!A"&amp;(ROW()-1)/2-AR$100))</f>
        <v>④</v>
      </c>
      <c r="C111" s="461">
        <f ca="1">INDIRECT("U10対戦スケジュール!b"&amp;(ROW()-1)/2-AR$100)</f>
        <v>0.46559999999999996</v>
      </c>
      <c r="D111" s="462"/>
      <c r="E111" s="463"/>
      <c r="F111" s="449"/>
      <c r="G111" s="449"/>
      <c r="H111" s="449"/>
      <c r="I111" s="449"/>
      <c r="J111" s="467" t="str">
        <f ca="1">VLOOKUP(AR111,U10組合せ!$B$10:$I$17,3,TRUE)</f>
        <v>清原シザース</v>
      </c>
      <c r="K111" s="468"/>
      <c r="L111" s="468"/>
      <c r="M111" s="468"/>
      <c r="N111" s="468"/>
      <c r="O111" s="468"/>
      <c r="P111" s="468"/>
      <c r="Q111" s="446">
        <f>IF(OR(S111="",S112=""),"",S111+S112)</f>
        <v>4</v>
      </c>
      <c r="R111" s="446"/>
      <c r="S111" s="136">
        <v>3</v>
      </c>
      <c r="T111" s="137" t="s">
        <v>8</v>
      </c>
      <c r="U111" s="136">
        <v>0</v>
      </c>
      <c r="V111" s="446">
        <f>IF(OR(U111="",U112=""),"",U111+U112)</f>
        <v>1</v>
      </c>
      <c r="W111" s="446"/>
      <c r="X111" s="467" t="str">
        <f ca="1">VLOOKUP(AS111,U10組合せ!$B$10:$I$17,3,TRUE)</f>
        <v>上河内JSC</v>
      </c>
      <c r="Y111" s="468"/>
      <c r="Z111" s="468"/>
      <c r="AA111" s="468"/>
      <c r="AB111" s="468"/>
      <c r="AC111" s="468"/>
      <c r="AD111" s="468"/>
      <c r="AE111" s="449"/>
      <c r="AF111" s="449"/>
      <c r="AG111" s="449"/>
      <c r="AH111" s="449"/>
      <c r="AI111" s="446" t="str">
        <f ca="1">DBCS(INDIRECT("U10対戦スケジュール!f"&amp;(ROW()-1)/2-AR$100))</f>
        <v>６／２／２／６</v>
      </c>
      <c r="AJ111" s="449" t="e">
        <f t="shared" ca="1" si="3"/>
        <v>#REF!</v>
      </c>
      <c r="AK111" s="449" t="e">
        <f t="shared" ca="1" si="3"/>
        <v>#REF!</v>
      </c>
      <c r="AL111" s="449" t="e">
        <f t="shared" ca="1" si="3"/>
        <v>#REF!</v>
      </c>
      <c r="AM111" s="449" t="e">
        <f t="shared" ca="1" si="3"/>
        <v>#REF!</v>
      </c>
      <c r="AN111" s="449" t="e">
        <f t="shared" ca="1" si="3"/>
        <v>#REF!</v>
      </c>
      <c r="AO111" s="449" t="e">
        <f t="shared" ca="1" si="3"/>
        <v>#REF!</v>
      </c>
      <c r="AP111" s="449" t="e">
        <f t="shared" ca="1" si="3"/>
        <v>#REF!</v>
      </c>
      <c r="AR111" s="134">
        <f ca="1">VLOOKUP(B111,U10対戦スケジュール!A$35:F$38,3,TRUE)</f>
        <v>4</v>
      </c>
      <c r="AS111" s="134">
        <f ca="1">VLOOKUP(B111,U10対戦スケジュール!A$35:F$38,5,TRUE)</f>
        <v>7</v>
      </c>
    </row>
    <row r="112" spans="2:51" ht="18" customHeight="1" x14ac:dyDescent="0.4">
      <c r="B112" s="442"/>
      <c r="C112" s="464"/>
      <c r="D112" s="465"/>
      <c r="E112" s="466"/>
      <c r="F112" s="449"/>
      <c r="G112" s="449"/>
      <c r="H112" s="449"/>
      <c r="I112" s="449"/>
      <c r="J112" s="468"/>
      <c r="K112" s="468"/>
      <c r="L112" s="468"/>
      <c r="M112" s="468"/>
      <c r="N112" s="468"/>
      <c r="O112" s="468"/>
      <c r="P112" s="468"/>
      <c r="Q112" s="446"/>
      <c r="R112" s="446"/>
      <c r="S112" s="136">
        <v>1</v>
      </c>
      <c r="T112" s="137" t="s">
        <v>8</v>
      </c>
      <c r="U112" s="136">
        <v>1</v>
      </c>
      <c r="V112" s="446"/>
      <c r="W112" s="446"/>
      <c r="X112" s="468"/>
      <c r="Y112" s="468"/>
      <c r="Z112" s="468"/>
      <c r="AA112" s="468"/>
      <c r="AB112" s="468"/>
      <c r="AC112" s="468"/>
      <c r="AD112" s="468"/>
      <c r="AE112" s="449"/>
      <c r="AF112" s="449"/>
      <c r="AG112" s="449"/>
      <c r="AH112" s="449"/>
      <c r="AI112" s="449"/>
      <c r="AJ112" s="449"/>
      <c r="AK112" s="449"/>
      <c r="AL112" s="449"/>
      <c r="AM112" s="449"/>
      <c r="AN112" s="449"/>
      <c r="AO112" s="449"/>
      <c r="AP112" s="449"/>
    </row>
    <row r="113" spans="1:43" ht="18" customHeight="1" x14ac:dyDescent="0.4">
      <c r="B113" s="442"/>
      <c r="C113" s="451"/>
      <c r="D113" s="452"/>
      <c r="E113" s="453"/>
      <c r="F113" s="449"/>
      <c r="G113" s="449"/>
      <c r="H113" s="449"/>
      <c r="I113" s="449"/>
      <c r="J113" s="457"/>
      <c r="K113" s="458"/>
      <c r="L113" s="458"/>
      <c r="M113" s="458"/>
      <c r="N113" s="458"/>
      <c r="O113" s="458"/>
      <c r="P113" s="458"/>
      <c r="Q113" s="446"/>
      <c r="R113" s="446"/>
      <c r="S113" s="136"/>
      <c r="T113" s="137"/>
      <c r="U113" s="136"/>
      <c r="V113" s="446"/>
      <c r="W113" s="446"/>
      <c r="X113" s="457"/>
      <c r="Y113" s="458"/>
      <c r="Z113" s="458"/>
      <c r="AA113" s="458"/>
      <c r="AB113" s="458"/>
      <c r="AC113" s="458"/>
      <c r="AD113" s="458"/>
      <c r="AE113" s="449"/>
      <c r="AF113" s="449"/>
      <c r="AG113" s="449"/>
      <c r="AH113" s="449"/>
      <c r="AI113" s="459"/>
      <c r="AJ113" s="460"/>
      <c r="AK113" s="460"/>
      <c r="AL113" s="460"/>
      <c r="AM113" s="460"/>
      <c r="AN113" s="460"/>
      <c r="AO113" s="460"/>
      <c r="AP113" s="460"/>
    </row>
    <row r="114" spans="1:43" ht="18" customHeight="1" x14ac:dyDescent="0.4">
      <c r="B114" s="442"/>
      <c r="C114" s="454"/>
      <c r="D114" s="455"/>
      <c r="E114" s="456"/>
      <c r="F114" s="449"/>
      <c r="G114" s="449"/>
      <c r="H114" s="449"/>
      <c r="I114" s="449"/>
      <c r="J114" s="458"/>
      <c r="K114" s="458"/>
      <c r="L114" s="458"/>
      <c r="M114" s="458"/>
      <c r="N114" s="458"/>
      <c r="O114" s="458"/>
      <c r="P114" s="458"/>
      <c r="Q114" s="446"/>
      <c r="R114" s="446"/>
      <c r="S114" s="136"/>
      <c r="T114" s="137"/>
      <c r="U114" s="136"/>
      <c r="V114" s="446"/>
      <c r="W114" s="446"/>
      <c r="X114" s="458"/>
      <c r="Y114" s="458"/>
      <c r="Z114" s="458"/>
      <c r="AA114" s="458"/>
      <c r="AB114" s="458"/>
      <c r="AC114" s="458"/>
      <c r="AD114" s="458"/>
      <c r="AE114" s="449"/>
      <c r="AF114" s="449"/>
      <c r="AG114" s="449"/>
      <c r="AH114" s="449"/>
      <c r="AI114" s="460"/>
      <c r="AJ114" s="460"/>
      <c r="AK114" s="460"/>
      <c r="AL114" s="460"/>
      <c r="AM114" s="460"/>
      <c r="AN114" s="460"/>
      <c r="AO114" s="460"/>
      <c r="AP114" s="460"/>
    </row>
    <row r="115" spans="1:43" ht="18" customHeight="1" x14ac:dyDescent="0.4">
      <c r="B115" s="442"/>
      <c r="C115" s="451"/>
      <c r="D115" s="452"/>
      <c r="E115" s="453"/>
      <c r="F115" s="449"/>
      <c r="G115" s="449"/>
      <c r="H115" s="449"/>
      <c r="I115" s="449"/>
      <c r="J115" s="457"/>
      <c r="K115" s="458"/>
      <c r="L115" s="458"/>
      <c r="M115" s="458"/>
      <c r="N115" s="458"/>
      <c r="O115" s="458"/>
      <c r="P115" s="458"/>
      <c r="Q115" s="446"/>
      <c r="R115" s="446"/>
      <c r="S115" s="136"/>
      <c r="T115" s="137"/>
      <c r="U115" s="136"/>
      <c r="V115" s="446"/>
      <c r="W115" s="446"/>
      <c r="X115" s="457"/>
      <c r="Y115" s="458"/>
      <c r="Z115" s="458"/>
      <c r="AA115" s="458"/>
      <c r="AB115" s="458"/>
      <c r="AC115" s="458"/>
      <c r="AD115" s="458"/>
      <c r="AE115" s="449"/>
      <c r="AF115" s="449"/>
      <c r="AG115" s="449"/>
      <c r="AH115" s="449"/>
      <c r="AI115" s="459"/>
      <c r="AJ115" s="460"/>
      <c r="AK115" s="460"/>
      <c r="AL115" s="460"/>
      <c r="AM115" s="460"/>
      <c r="AN115" s="460"/>
      <c r="AO115" s="460"/>
      <c r="AP115" s="460"/>
    </row>
    <row r="116" spans="1:43" ht="18" customHeight="1" x14ac:dyDescent="0.4">
      <c r="B116" s="442"/>
      <c r="C116" s="454"/>
      <c r="D116" s="455"/>
      <c r="E116" s="456"/>
      <c r="F116" s="449"/>
      <c r="G116" s="449"/>
      <c r="H116" s="449"/>
      <c r="I116" s="449"/>
      <c r="J116" s="458"/>
      <c r="K116" s="458"/>
      <c r="L116" s="458"/>
      <c r="M116" s="458"/>
      <c r="N116" s="458"/>
      <c r="O116" s="458"/>
      <c r="P116" s="458"/>
      <c r="Q116" s="446"/>
      <c r="R116" s="446"/>
      <c r="S116" s="136"/>
      <c r="T116" s="137"/>
      <c r="U116" s="136"/>
      <c r="V116" s="446"/>
      <c r="W116" s="446"/>
      <c r="X116" s="458"/>
      <c r="Y116" s="458"/>
      <c r="Z116" s="458"/>
      <c r="AA116" s="458"/>
      <c r="AB116" s="458"/>
      <c r="AC116" s="458"/>
      <c r="AD116" s="458"/>
      <c r="AE116" s="449"/>
      <c r="AF116" s="449"/>
      <c r="AG116" s="449"/>
      <c r="AH116" s="449"/>
      <c r="AI116" s="460"/>
      <c r="AJ116" s="460"/>
      <c r="AK116" s="460"/>
      <c r="AL116" s="460"/>
      <c r="AM116" s="460"/>
      <c r="AN116" s="460"/>
      <c r="AO116" s="460"/>
      <c r="AP116" s="460"/>
    </row>
    <row r="117" spans="1:43" ht="18" customHeight="1" x14ac:dyDescent="0.4">
      <c r="B117" s="442"/>
      <c r="C117" s="450"/>
      <c r="D117" s="450"/>
      <c r="E117" s="450"/>
      <c r="F117" s="449"/>
      <c r="G117" s="449"/>
      <c r="H117" s="449"/>
      <c r="I117" s="449"/>
      <c r="J117" s="447"/>
      <c r="K117" s="448"/>
      <c r="L117" s="448"/>
      <c r="M117" s="448"/>
      <c r="N117" s="448"/>
      <c r="O117" s="448"/>
      <c r="P117" s="448"/>
      <c r="Q117" s="446"/>
      <c r="R117" s="446"/>
      <c r="S117" s="136"/>
      <c r="T117" s="137"/>
      <c r="U117" s="136"/>
      <c r="V117" s="446"/>
      <c r="W117" s="446"/>
      <c r="X117" s="447"/>
      <c r="Y117" s="448"/>
      <c r="Z117" s="448"/>
      <c r="AA117" s="448"/>
      <c r="AB117" s="448"/>
      <c r="AC117" s="448"/>
      <c r="AD117" s="448"/>
      <c r="AE117" s="449"/>
      <c r="AF117" s="449"/>
      <c r="AG117" s="449"/>
      <c r="AH117" s="449"/>
      <c r="AI117" s="446"/>
      <c r="AJ117" s="449"/>
      <c r="AK117" s="449"/>
      <c r="AL117" s="449"/>
      <c r="AM117" s="449"/>
      <c r="AN117" s="449"/>
      <c r="AO117" s="449"/>
      <c r="AP117" s="449"/>
    </row>
    <row r="118" spans="1:43" ht="18" customHeight="1" x14ac:dyDescent="0.4">
      <c r="B118" s="442"/>
      <c r="C118" s="450"/>
      <c r="D118" s="450"/>
      <c r="E118" s="450"/>
      <c r="F118" s="449"/>
      <c r="G118" s="449"/>
      <c r="H118" s="449"/>
      <c r="I118" s="449"/>
      <c r="J118" s="448"/>
      <c r="K118" s="448"/>
      <c r="L118" s="448"/>
      <c r="M118" s="448"/>
      <c r="N118" s="448"/>
      <c r="O118" s="448"/>
      <c r="P118" s="448"/>
      <c r="Q118" s="446"/>
      <c r="R118" s="446"/>
      <c r="S118" s="136"/>
      <c r="T118" s="137"/>
      <c r="U118" s="136"/>
      <c r="V118" s="446"/>
      <c r="W118" s="446"/>
      <c r="X118" s="448"/>
      <c r="Y118" s="448"/>
      <c r="Z118" s="448"/>
      <c r="AA118" s="448"/>
      <c r="AB118" s="448"/>
      <c r="AC118" s="448"/>
      <c r="AD118" s="448"/>
      <c r="AE118" s="449"/>
      <c r="AF118" s="449"/>
      <c r="AG118" s="449"/>
      <c r="AH118" s="449"/>
      <c r="AI118" s="449"/>
      <c r="AJ118" s="449"/>
      <c r="AK118" s="449"/>
      <c r="AL118" s="449"/>
      <c r="AM118" s="449"/>
      <c r="AN118" s="449"/>
      <c r="AO118" s="449"/>
      <c r="AP118" s="449"/>
    </row>
    <row r="119" spans="1:43" ht="15.75" customHeight="1" x14ac:dyDescent="0.4">
      <c r="A119" s="138"/>
      <c r="B119" s="139"/>
      <c r="C119" s="140"/>
      <c r="D119" s="140"/>
      <c r="E119" s="140"/>
      <c r="F119" s="139"/>
      <c r="G119" s="139"/>
      <c r="H119" s="139"/>
      <c r="I119" s="139"/>
      <c r="J119" s="139"/>
      <c r="K119" s="141"/>
      <c r="L119" s="141"/>
      <c r="M119" s="142"/>
      <c r="N119" s="143"/>
      <c r="O119" s="142"/>
      <c r="P119" s="141"/>
      <c r="Q119" s="141"/>
      <c r="R119" s="139"/>
      <c r="S119" s="139"/>
      <c r="T119" s="139"/>
      <c r="U119" s="139"/>
      <c r="V119" s="139"/>
      <c r="W119" s="144"/>
      <c r="X119" s="144"/>
      <c r="Y119" s="144"/>
      <c r="Z119" s="144"/>
      <c r="AA119" s="144"/>
      <c r="AB119" s="144"/>
      <c r="AC119" s="138"/>
    </row>
    <row r="120" spans="1:43" ht="20.25" customHeight="1" x14ac:dyDescent="0.4">
      <c r="D120" s="442" t="s">
        <v>9</v>
      </c>
      <c r="E120" s="442"/>
      <c r="F120" s="442"/>
      <c r="G120" s="442"/>
      <c r="H120" s="442"/>
      <c r="I120" s="442"/>
      <c r="J120" s="442" t="s">
        <v>5</v>
      </c>
      <c r="K120" s="442"/>
      <c r="L120" s="442"/>
      <c r="M120" s="442"/>
      <c r="N120" s="442"/>
      <c r="O120" s="442"/>
      <c r="P120" s="442"/>
      <c r="Q120" s="442"/>
      <c r="R120" s="443" t="s">
        <v>10</v>
      </c>
      <c r="S120" s="443"/>
      <c r="T120" s="443"/>
      <c r="U120" s="443"/>
      <c r="V120" s="443"/>
      <c r="W120" s="443"/>
      <c r="X120" s="443"/>
      <c r="Y120" s="443"/>
      <c r="Z120" s="443"/>
      <c r="AA120" s="444" t="s">
        <v>11</v>
      </c>
      <c r="AB120" s="444"/>
      <c r="AC120" s="444"/>
      <c r="AD120" s="444" t="s">
        <v>12</v>
      </c>
      <c r="AE120" s="444"/>
      <c r="AF120" s="444"/>
      <c r="AG120" s="444"/>
      <c r="AH120" s="444"/>
      <c r="AI120" s="444"/>
      <c r="AJ120" s="444"/>
      <c r="AK120" s="444"/>
      <c r="AL120" s="444"/>
      <c r="AM120" s="444"/>
    </row>
    <row r="121" spans="1:43" ht="30" customHeight="1" x14ac:dyDescent="0.4">
      <c r="D121" s="442" t="s">
        <v>13</v>
      </c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3"/>
      <c r="S121" s="443"/>
      <c r="T121" s="443"/>
      <c r="U121" s="443"/>
      <c r="V121" s="443"/>
      <c r="W121" s="443"/>
      <c r="X121" s="443"/>
      <c r="Y121" s="443"/>
      <c r="Z121" s="443"/>
      <c r="AA121" s="445"/>
      <c r="AB121" s="445"/>
      <c r="AC121" s="445"/>
      <c r="AD121" s="441"/>
      <c r="AE121" s="441"/>
      <c r="AF121" s="441"/>
      <c r="AG121" s="441"/>
      <c r="AH121" s="441"/>
      <c r="AI121" s="441"/>
      <c r="AJ121" s="441"/>
      <c r="AK121" s="441"/>
      <c r="AL121" s="441"/>
      <c r="AM121" s="441"/>
    </row>
    <row r="122" spans="1:43" ht="30" customHeight="1" x14ac:dyDescent="0.4">
      <c r="D122" s="442" t="s">
        <v>13</v>
      </c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4"/>
      <c r="AB122" s="444"/>
      <c r="AC122" s="444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</row>
    <row r="123" spans="1:43" ht="30" customHeight="1" x14ac:dyDescent="0.4">
      <c r="D123" s="442" t="s">
        <v>13</v>
      </c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4"/>
      <c r="AB123" s="444"/>
      <c r="AC123" s="444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</row>
    <row r="125" spans="1:43" ht="14.25" customHeight="1" x14ac:dyDescent="0.4">
      <c r="A125" s="274"/>
      <c r="B125" s="489" t="str">
        <f>U10組合せ!$B$1</f>
        <v>ＪＦＡ　Ｕ-１０サッカーリーグ2021（in栃木） 宇都宮地区リーグ戦（前期）</v>
      </c>
      <c r="C125" s="489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90" t="str">
        <f>"【"&amp;(U10組合せ!$D$3)&amp;"】"</f>
        <v>【Ａ ブロック】</v>
      </c>
      <c r="AD125" s="490"/>
      <c r="AE125" s="490"/>
      <c r="AF125" s="490"/>
      <c r="AG125" s="490"/>
      <c r="AH125" s="490"/>
      <c r="AI125" s="490"/>
      <c r="AJ125" s="490"/>
      <c r="AK125" s="490" t="str">
        <f>"第"&amp;(U10組合せ!$D$31)</f>
        <v>第３節</v>
      </c>
      <c r="AL125" s="490"/>
      <c r="AM125" s="490"/>
      <c r="AN125" s="490"/>
      <c r="AO125" s="490"/>
      <c r="AP125" s="491" t="s">
        <v>195</v>
      </c>
      <c r="AQ125" s="492"/>
    </row>
    <row r="126" spans="1:43" ht="22.5" customHeight="1" x14ac:dyDescent="0.4">
      <c r="A126" s="274"/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  <c r="Q126" s="489"/>
      <c r="R126" s="489"/>
      <c r="S126" s="489"/>
      <c r="T126" s="489"/>
      <c r="U126" s="489"/>
      <c r="V126" s="489"/>
      <c r="W126" s="489"/>
      <c r="X126" s="489"/>
      <c r="Y126" s="489"/>
      <c r="Z126" s="489"/>
      <c r="AA126" s="489"/>
      <c r="AB126" s="489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2"/>
      <c r="AQ126" s="492"/>
    </row>
    <row r="127" spans="1:43" ht="27.75" customHeight="1" x14ac:dyDescent="0.4">
      <c r="C127" s="477" t="s">
        <v>1</v>
      </c>
      <c r="D127" s="477"/>
      <c r="E127" s="477"/>
      <c r="F127" s="477"/>
      <c r="G127" s="478" t="str">
        <f>U10対戦スケジュール!C43</f>
        <v>豊郷南小</v>
      </c>
      <c r="H127" s="479"/>
      <c r="I127" s="479"/>
      <c r="J127" s="479"/>
      <c r="K127" s="479"/>
      <c r="L127" s="479"/>
      <c r="M127" s="479"/>
      <c r="N127" s="479"/>
      <c r="O127" s="480"/>
      <c r="P127" s="477" t="s">
        <v>0</v>
      </c>
      <c r="Q127" s="477"/>
      <c r="R127" s="477"/>
      <c r="S127" s="477"/>
      <c r="T127" s="481" t="str">
        <f>AG130</f>
        <v>FC グランディール</v>
      </c>
      <c r="U127" s="481"/>
      <c r="V127" s="481"/>
      <c r="W127" s="481"/>
      <c r="X127" s="481"/>
      <c r="Y127" s="481"/>
      <c r="Z127" s="481"/>
      <c r="AA127" s="481"/>
      <c r="AB127" s="481"/>
      <c r="AC127" s="477" t="s">
        <v>2</v>
      </c>
      <c r="AD127" s="477"/>
      <c r="AE127" s="477"/>
      <c r="AF127" s="477"/>
      <c r="AG127" s="482">
        <f>U10組合せ!B31</f>
        <v>44325</v>
      </c>
      <c r="AH127" s="483"/>
      <c r="AI127" s="483"/>
      <c r="AJ127" s="483"/>
      <c r="AK127" s="483"/>
      <c r="AL127" s="483"/>
      <c r="AM127" s="484" t="str">
        <f>"（"&amp;TEXT(AG127,"aaa")&amp;"）"</f>
        <v>（日）</v>
      </c>
      <c r="AN127" s="484"/>
      <c r="AO127" s="485"/>
    </row>
    <row r="128" spans="1:43" ht="15" customHeight="1" x14ac:dyDescent="0.4">
      <c r="C128" s="134" t="str">
        <f>U10組合せ!E32</f>
        <v>A1278</v>
      </c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3"/>
      <c r="X128" s="133"/>
      <c r="Y128" s="133"/>
      <c r="Z128" s="133"/>
      <c r="AA128" s="133"/>
      <c r="AB128" s="133"/>
      <c r="AC128" s="133"/>
    </row>
    <row r="129" spans="1:45" s="155" customFormat="1" ht="29.25" customHeight="1" x14ac:dyDescent="0.4">
      <c r="A129" s="134"/>
      <c r="B129" s="134"/>
      <c r="C129" s="481">
        <v>1</v>
      </c>
      <c r="D129" s="481"/>
      <c r="E129" s="488" t="str">
        <f>VLOOKUP(C129,U10組合せ!$B$10:$I$17,3,TRUE)</f>
        <v>富士見SSS</v>
      </c>
      <c r="F129" s="488"/>
      <c r="G129" s="488"/>
      <c r="H129" s="488"/>
      <c r="I129" s="488"/>
      <c r="J129" s="488"/>
      <c r="K129" s="488"/>
      <c r="L129" s="488"/>
      <c r="M129" s="488"/>
      <c r="N129" s="488"/>
      <c r="O129" s="148"/>
      <c r="P129" s="148"/>
      <c r="Q129" s="486">
        <v>4</v>
      </c>
      <c r="R129" s="486"/>
      <c r="S129" s="487" t="str">
        <f>VLOOKUP(Q129,U10組合せ!$B$10:$I$17,3,TRUE)</f>
        <v>清原シザース</v>
      </c>
      <c r="T129" s="487"/>
      <c r="U129" s="487"/>
      <c r="V129" s="487"/>
      <c r="W129" s="487"/>
      <c r="X129" s="487"/>
      <c r="Y129" s="487"/>
      <c r="Z129" s="487"/>
      <c r="AA129" s="487"/>
      <c r="AB129" s="487"/>
      <c r="AC129" s="131"/>
      <c r="AD129" s="132"/>
      <c r="AE129" s="481">
        <v>7</v>
      </c>
      <c r="AF129" s="481"/>
      <c r="AG129" s="488" t="str">
        <f>VLOOKUP(AE129,U10組合せ!$B$10:$I$17,3,TRUE)</f>
        <v>上河内JSC</v>
      </c>
      <c r="AH129" s="488"/>
      <c r="AI129" s="488"/>
      <c r="AJ129" s="488"/>
      <c r="AK129" s="488"/>
      <c r="AL129" s="488"/>
      <c r="AM129" s="488"/>
      <c r="AN129" s="488"/>
      <c r="AO129" s="488"/>
      <c r="AP129" s="488"/>
      <c r="AR129" s="155">
        <f>136/2</f>
        <v>68</v>
      </c>
    </row>
    <row r="130" spans="1:45" s="155" customFormat="1" ht="29.25" customHeight="1" x14ac:dyDescent="0.4">
      <c r="C130" s="481">
        <v>2</v>
      </c>
      <c r="D130" s="481"/>
      <c r="E130" s="488" t="str">
        <f>VLOOKUP(C130,U10組合せ!$B$10:$I$17,3,TRUE)</f>
        <v>unionscU10</v>
      </c>
      <c r="F130" s="488"/>
      <c r="G130" s="488"/>
      <c r="H130" s="488"/>
      <c r="I130" s="488"/>
      <c r="J130" s="488"/>
      <c r="K130" s="488"/>
      <c r="L130" s="488"/>
      <c r="M130" s="488"/>
      <c r="N130" s="488"/>
      <c r="O130" s="148"/>
      <c r="P130" s="148"/>
      <c r="Q130" s="486">
        <v>5</v>
      </c>
      <c r="R130" s="486"/>
      <c r="S130" s="487" t="str">
        <f>VLOOKUP(Q130,U10組合せ!$B$10:$I$17,3,TRUE)</f>
        <v>サウス宇都宮SC</v>
      </c>
      <c r="T130" s="487"/>
      <c r="U130" s="487"/>
      <c r="V130" s="487"/>
      <c r="W130" s="487"/>
      <c r="X130" s="487"/>
      <c r="Y130" s="487"/>
      <c r="Z130" s="487"/>
      <c r="AA130" s="487"/>
      <c r="AB130" s="487"/>
      <c r="AC130" s="131"/>
      <c r="AD130" s="132"/>
      <c r="AE130" s="481">
        <v>8</v>
      </c>
      <c r="AF130" s="481"/>
      <c r="AG130" s="488" t="str">
        <f>VLOOKUP(AE130,U10組合せ!$B$10:$I$17,3,TRUE)</f>
        <v>FC グランディール</v>
      </c>
      <c r="AH130" s="488"/>
      <c r="AI130" s="488"/>
      <c r="AJ130" s="488"/>
      <c r="AK130" s="488"/>
      <c r="AL130" s="488"/>
      <c r="AM130" s="488"/>
      <c r="AN130" s="488"/>
      <c r="AO130" s="488"/>
      <c r="AP130" s="488"/>
      <c r="AR130" s="155">
        <v>45</v>
      </c>
    </row>
    <row r="131" spans="1:45" s="155" customFormat="1" ht="29.25" customHeight="1" x14ac:dyDescent="0.4">
      <c r="C131" s="486">
        <v>3</v>
      </c>
      <c r="D131" s="486"/>
      <c r="E131" s="487" t="str">
        <f>VLOOKUP(C131,U10組合せ!$B$10:$I$17,3,TRUE)</f>
        <v>ISOSC</v>
      </c>
      <c r="F131" s="487"/>
      <c r="G131" s="487"/>
      <c r="H131" s="487"/>
      <c r="I131" s="487"/>
      <c r="J131" s="487"/>
      <c r="K131" s="487"/>
      <c r="L131" s="487"/>
      <c r="M131" s="487"/>
      <c r="N131" s="487"/>
      <c r="O131" s="148"/>
      <c r="P131" s="148"/>
      <c r="Q131" s="486">
        <v>6</v>
      </c>
      <c r="R131" s="486"/>
      <c r="S131" s="487" t="str">
        <f>VLOOKUP(Q131,U10組合せ!$B$10:$I$17,3,TRUE)</f>
        <v>ともぞうSC U10</v>
      </c>
      <c r="T131" s="487"/>
      <c r="U131" s="487"/>
      <c r="V131" s="487"/>
      <c r="W131" s="487"/>
      <c r="X131" s="487"/>
      <c r="Y131" s="487"/>
      <c r="Z131" s="487"/>
      <c r="AA131" s="487"/>
      <c r="AB131" s="487"/>
      <c r="AC131" s="131"/>
      <c r="AD131" s="132"/>
      <c r="AE131" s="486">
        <v>9</v>
      </c>
      <c r="AF131" s="486"/>
      <c r="AG131" s="487"/>
      <c r="AH131" s="487"/>
      <c r="AI131" s="487"/>
      <c r="AJ131" s="487"/>
      <c r="AK131" s="487"/>
      <c r="AL131" s="487"/>
      <c r="AM131" s="487"/>
      <c r="AN131" s="487"/>
      <c r="AO131" s="487"/>
      <c r="AP131" s="487"/>
      <c r="AR131" s="152">
        <f>AR129-AR130</f>
        <v>23</v>
      </c>
    </row>
    <row r="132" spans="1:45" ht="8.25" customHeight="1" x14ac:dyDescent="0.4">
      <c r="O132" s="138"/>
      <c r="P132" s="138"/>
      <c r="AC132" s="133"/>
    </row>
    <row r="133" spans="1:45" ht="8.25" customHeight="1" x14ac:dyDescent="0.4">
      <c r="C133" s="149"/>
      <c r="D133" s="150"/>
      <c r="E133" s="150"/>
      <c r="F133" s="150"/>
      <c r="G133" s="150"/>
      <c r="H133" s="150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50"/>
      <c r="U133" s="138"/>
      <c r="V133" s="150"/>
      <c r="W133" s="138"/>
      <c r="X133" s="150"/>
      <c r="Y133" s="138"/>
      <c r="Z133" s="150"/>
      <c r="AA133" s="138"/>
      <c r="AB133" s="150"/>
      <c r="AC133" s="150"/>
    </row>
    <row r="134" spans="1:45" ht="21" customHeight="1" x14ac:dyDescent="0.4">
      <c r="B134" s="134" t="s">
        <v>181</v>
      </c>
    </row>
    <row r="135" spans="1:45" ht="20.25" customHeight="1" x14ac:dyDescent="0.4">
      <c r="B135" s="135"/>
      <c r="C135" s="469" t="s">
        <v>3</v>
      </c>
      <c r="D135" s="469"/>
      <c r="E135" s="469"/>
      <c r="F135" s="470" t="s">
        <v>4</v>
      </c>
      <c r="G135" s="470"/>
      <c r="H135" s="470"/>
      <c r="I135" s="470"/>
      <c r="J135" s="469" t="s">
        <v>5</v>
      </c>
      <c r="K135" s="471"/>
      <c r="L135" s="471"/>
      <c r="M135" s="471"/>
      <c r="N135" s="471"/>
      <c r="O135" s="471"/>
      <c r="P135" s="471"/>
      <c r="Q135" s="469" t="s">
        <v>40</v>
      </c>
      <c r="R135" s="469"/>
      <c r="S135" s="469"/>
      <c r="T135" s="469"/>
      <c r="U135" s="469"/>
      <c r="V135" s="469"/>
      <c r="W135" s="469"/>
      <c r="X135" s="469" t="s">
        <v>5</v>
      </c>
      <c r="Y135" s="471"/>
      <c r="Z135" s="471"/>
      <c r="AA135" s="471"/>
      <c r="AB135" s="471"/>
      <c r="AC135" s="471"/>
      <c r="AD135" s="471"/>
      <c r="AE135" s="470" t="s">
        <v>4</v>
      </c>
      <c r="AF135" s="470"/>
      <c r="AG135" s="470"/>
      <c r="AH135" s="470"/>
      <c r="AI135" s="469" t="s">
        <v>7</v>
      </c>
      <c r="AJ135" s="469"/>
      <c r="AK135" s="471"/>
      <c r="AL135" s="471"/>
      <c r="AM135" s="471"/>
      <c r="AN135" s="471"/>
      <c r="AO135" s="471"/>
      <c r="AP135" s="471"/>
    </row>
    <row r="136" spans="1:45" ht="20.100000000000001" customHeight="1" x14ac:dyDescent="0.4">
      <c r="B136" s="442" t="str">
        <f ca="1">DBCS(INDIRECT("U10対戦スケジュール!A"&amp;(ROW())/2-AR$131))</f>
        <v>①</v>
      </c>
      <c r="C136" s="461">
        <f ca="1">VLOOKUP(B136,U10対戦スケジュール!A$8:F$11,2,TRUE)</f>
        <v>0.375</v>
      </c>
      <c r="D136" s="462"/>
      <c r="E136" s="463"/>
      <c r="F136" s="449"/>
      <c r="G136" s="449"/>
      <c r="H136" s="449"/>
      <c r="I136" s="449"/>
      <c r="J136" s="467" t="str">
        <f ca="1">VLOOKUP(AR136,U10組合せ!$B$10:$I$17,3,TRUE)</f>
        <v>富士見SSS</v>
      </c>
      <c r="K136" s="468"/>
      <c r="L136" s="468"/>
      <c r="M136" s="468"/>
      <c r="N136" s="468"/>
      <c r="O136" s="468"/>
      <c r="P136" s="468"/>
      <c r="Q136" s="446">
        <f>IF(OR(S136="",S137=""),"",S136+S137)</f>
        <v>0</v>
      </c>
      <c r="R136" s="446"/>
      <c r="S136" s="136">
        <v>0</v>
      </c>
      <c r="T136" s="137" t="s">
        <v>8</v>
      </c>
      <c r="U136" s="136">
        <v>4</v>
      </c>
      <c r="V136" s="446">
        <f>IF(OR(U136="",U137=""),"",U136+U137)</f>
        <v>10</v>
      </c>
      <c r="W136" s="446"/>
      <c r="X136" s="467" t="str">
        <f ca="1">VLOOKUP(AS136,U10組合せ!$B$10:$I$17,3,TRUE)</f>
        <v>上河内JSC</v>
      </c>
      <c r="Y136" s="468"/>
      <c r="Z136" s="468"/>
      <c r="AA136" s="468"/>
      <c r="AB136" s="468"/>
      <c r="AC136" s="468"/>
      <c r="AD136" s="468"/>
      <c r="AE136" s="449"/>
      <c r="AF136" s="449"/>
      <c r="AG136" s="449"/>
      <c r="AH136" s="449"/>
      <c r="AI136" s="446" t="str">
        <f ca="1">DBCS(VLOOKUP(B136,U10対戦スケジュール!A$45:F$48,6,TRUE))</f>
        <v>２／８／８／２</v>
      </c>
      <c r="AJ136" s="449" t="e">
        <f>VLOOKUP(#REF!,U10対戦スケジュール!#REF!,3,TRUE)</f>
        <v>#REF!</v>
      </c>
      <c r="AK136" s="449" t="e">
        <f>VLOOKUP(#REF!,U10対戦スケジュール!#REF!,3,TRUE)</f>
        <v>#REF!</v>
      </c>
      <c r="AL136" s="449" t="e">
        <f>VLOOKUP(#REF!,U10対戦スケジュール!#REF!,3,TRUE)</f>
        <v>#REF!</v>
      </c>
      <c r="AM136" s="449" t="e">
        <f>VLOOKUP(#REF!,U10対戦スケジュール!#REF!,3,TRUE)</f>
        <v>#REF!</v>
      </c>
      <c r="AN136" s="449" t="e">
        <f>VLOOKUP(#REF!,U10対戦スケジュール!#REF!,3,TRUE)</f>
        <v>#REF!</v>
      </c>
      <c r="AO136" s="449" t="e">
        <f>VLOOKUP(#REF!,U10対戦スケジュール!#REF!,3,TRUE)</f>
        <v>#REF!</v>
      </c>
      <c r="AP136" s="449" t="e">
        <f>VLOOKUP(#REF!,U10対戦スケジュール!#REF!,3,TRUE)</f>
        <v>#REF!</v>
      </c>
      <c r="AR136" s="151">
        <f ca="1">VLOOKUP(B136,U10対戦スケジュール!A$45:F$48,3,TRUE)</f>
        <v>1</v>
      </c>
      <c r="AS136" s="151">
        <f ca="1">VLOOKUP(B136,U10対戦スケジュール!A$45:F$48,5)</f>
        <v>7</v>
      </c>
    </row>
    <row r="137" spans="1:45" ht="20.100000000000001" customHeight="1" x14ac:dyDescent="0.4">
      <c r="B137" s="442"/>
      <c r="C137" s="464"/>
      <c r="D137" s="465"/>
      <c r="E137" s="466"/>
      <c r="F137" s="449"/>
      <c r="G137" s="449"/>
      <c r="H137" s="449"/>
      <c r="I137" s="449"/>
      <c r="J137" s="468"/>
      <c r="K137" s="468"/>
      <c r="L137" s="468"/>
      <c r="M137" s="468"/>
      <c r="N137" s="468"/>
      <c r="O137" s="468"/>
      <c r="P137" s="468"/>
      <c r="Q137" s="446"/>
      <c r="R137" s="446"/>
      <c r="S137" s="136">
        <v>0</v>
      </c>
      <c r="T137" s="137" t="s">
        <v>8</v>
      </c>
      <c r="U137" s="136">
        <v>6</v>
      </c>
      <c r="V137" s="446"/>
      <c r="W137" s="446"/>
      <c r="X137" s="468"/>
      <c r="Y137" s="468"/>
      <c r="Z137" s="468"/>
      <c r="AA137" s="468"/>
      <c r="AB137" s="468"/>
      <c r="AC137" s="468"/>
      <c r="AD137" s="468"/>
      <c r="AE137" s="449"/>
      <c r="AF137" s="449"/>
      <c r="AG137" s="449"/>
      <c r="AH137" s="449"/>
      <c r="AI137" s="449" t="e">
        <f>VLOOKUP(#REF!,U10対戦スケジュール!#REF!,3,TRUE)</f>
        <v>#REF!</v>
      </c>
      <c r="AJ137" s="449" t="e">
        <f>VLOOKUP(#REF!,U10対戦スケジュール!#REF!,3,TRUE)</f>
        <v>#REF!</v>
      </c>
      <c r="AK137" s="449" t="e">
        <f>VLOOKUP(#REF!,U10対戦スケジュール!#REF!,3,TRUE)</f>
        <v>#REF!</v>
      </c>
      <c r="AL137" s="449" t="e">
        <f>VLOOKUP(#REF!,U10対戦スケジュール!#REF!,3,TRUE)</f>
        <v>#REF!</v>
      </c>
      <c r="AM137" s="449" t="e">
        <f>VLOOKUP(#REF!,U10対戦スケジュール!#REF!,3,TRUE)</f>
        <v>#REF!</v>
      </c>
      <c r="AN137" s="449" t="e">
        <f>VLOOKUP(#REF!,U10対戦スケジュール!#REF!,3,TRUE)</f>
        <v>#REF!</v>
      </c>
      <c r="AO137" s="449" t="e">
        <f>VLOOKUP(#REF!,U10対戦スケジュール!#REF!,3,TRUE)</f>
        <v>#REF!</v>
      </c>
      <c r="AP137" s="449" t="e">
        <f>VLOOKUP(#REF!,U10対戦スケジュール!#REF!,3,TRUE)</f>
        <v>#REF!</v>
      </c>
      <c r="AR137" s="151"/>
      <c r="AS137" s="151"/>
    </row>
    <row r="138" spans="1:45" ht="20.100000000000001" customHeight="1" x14ac:dyDescent="0.4">
      <c r="B138" s="442" t="str">
        <f ca="1">DBCS(INDIRECT("U10対戦スケジュール!A"&amp;(ROW())/2-AR$131))</f>
        <v>②</v>
      </c>
      <c r="C138" s="461">
        <f ca="1">VLOOKUP(B138,U10対戦スケジュール!A$8:F$11,2,TRUE)</f>
        <v>0.40279999999999999</v>
      </c>
      <c r="D138" s="462"/>
      <c r="E138" s="463"/>
      <c r="F138" s="449"/>
      <c r="G138" s="449"/>
      <c r="H138" s="449"/>
      <c r="I138" s="449"/>
      <c r="J138" s="467" t="str">
        <f ca="1">VLOOKUP(AR138,U10組合せ!$B$10:$I$17,3,TRUE)</f>
        <v>FC グランディール</v>
      </c>
      <c r="K138" s="468"/>
      <c r="L138" s="468"/>
      <c r="M138" s="468"/>
      <c r="N138" s="468"/>
      <c r="O138" s="468"/>
      <c r="P138" s="468"/>
      <c r="Q138" s="446">
        <f>IF(OR(S138="",S139=""),"",S138+S139)</f>
        <v>0</v>
      </c>
      <c r="R138" s="446"/>
      <c r="S138" s="136">
        <v>0</v>
      </c>
      <c r="T138" s="137" t="s">
        <v>8</v>
      </c>
      <c r="U138" s="136">
        <v>0</v>
      </c>
      <c r="V138" s="446">
        <f>IF(OR(U138="",U139=""),"",U138+U139)</f>
        <v>0</v>
      </c>
      <c r="W138" s="446"/>
      <c r="X138" s="467" t="str">
        <f ca="1">VLOOKUP(AS138,U10組合せ!$B$10:$I$17,3,TRUE)</f>
        <v>unionscU10</v>
      </c>
      <c r="Y138" s="468"/>
      <c r="Z138" s="468"/>
      <c r="AA138" s="468"/>
      <c r="AB138" s="468"/>
      <c r="AC138" s="468"/>
      <c r="AD138" s="468"/>
      <c r="AE138" s="449"/>
      <c r="AF138" s="449"/>
      <c r="AG138" s="449"/>
      <c r="AH138" s="449"/>
      <c r="AI138" s="446" t="str">
        <f ca="1">DBCS(VLOOKUP(B138,U10対戦スケジュール!A$45:F$48,6,TRUE))</f>
        <v>１／７／７／１</v>
      </c>
      <c r="AJ138" s="449" t="e">
        <f>VLOOKUP(#REF!,U10対戦スケジュール!#REF!,3,TRUE)</f>
        <v>#REF!</v>
      </c>
      <c r="AK138" s="449" t="e">
        <f>VLOOKUP(#REF!,U10対戦スケジュール!#REF!,3,TRUE)</f>
        <v>#REF!</v>
      </c>
      <c r="AL138" s="449" t="e">
        <f>VLOOKUP(#REF!,U10対戦スケジュール!#REF!,3,TRUE)</f>
        <v>#REF!</v>
      </c>
      <c r="AM138" s="449" t="e">
        <f>VLOOKUP(#REF!,U10対戦スケジュール!#REF!,3,TRUE)</f>
        <v>#REF!</v>
      </c>
      <c r="AN138" s="449" t="e">
        <f>VLOOKUP(#REF!,U10対戦スケジュール!#REF!,3,TRUE)</f>
        <v>#REF!</v>
      </c>
      <c r="AO138" s="449" t="e">
        <f>VLOOKUP(#REF!,U10対戦スケジュール!#REF!,3,TRUE)</f>
        <v>#REF!</v>
      </c>
      <c r="AP138" s="449" t="e">
        <f>VLOOKUP(#REF!,U10対戦スケジュール!#REF!,3,TRUE)</f>
        <v>#REF!</v>
      </c>
      <c r="AR138" s="151">
        <f ca="1">VLOOKUP(B138,U10対戦スケジュール!A$45:F$48,3,TRUE)</f>
        <v>8</v>
      </c>
      <c r="AS138" s="151">
        <f ca="1">VLOOKUP(B138,U10対戦スケジュール!A$45:F$48,5)</f>
        <v>2</v>
      </c>
    </row>
    <row r="139" spans="1:45" ht="20.100000000000001" customHeight="1" x14ac:dyDescent="0.4">
      <c r="B139" s="442"/>
      <c r="C139" s="464"/>
      <c r="D139" s="465"/>
      <c r="E139" s="466"/>
      <c r="F139" s="449"/>
      <c r="G139" s="449"/>
      <c r="H139" s="449"/>
      <c r="I139" s="449"/>
      <c r="J139" s="468"/>
      <c r="K139" s="468"/>
      <c r="L139" s="468"/>
      <c r="M139" s="468"/>
      <c r="N139" s="468"/>
      <c r="O139" s="468"/>
      <c r="P139" s="468"/>
      <c r="Q139" s="446"/>
      <c r="R139" s="446"/>
      <c r="S139" s="136">
        <v>0</v>
      </c>
      <c r="T139" s="137" t="s">
        <v>8</v>
      </c>
      <c r="U139" s="136">
        <v>0</v>
      </c>
      <c r="V139" s="446"/>
      <c r="W139" s="446"/>
      <c r="X139" s="468"/>
      <c r="Y139" s="468"/>
      <c r="Z139" s="468"/>
      <c r="AA139" s="468"/>
      <c r="AB139" s="468"/>
      <c r="AC139" s="468"/>
      <c r="AD139" s="468"/>
      <c r="AE139" s="449"/>
      <c r="AF139" s="449"/>
      <c r="AG139" s="449"/>
      <c r="AH139" s="449"/>
      <c r="AI139" s="449" t="e">
        <f>VLOOKUP(#REF!,U10対戦スケジュール!#REF!,3,TRUE)</f>
        <v>#REF!</v>
      </c>
      <c r="AJ139" s="449" t="e">
        <f>VLOOKUP(#REF!,U10対戦スケジュール!#REF!,3,TRUE)</f>
        <v>#REF!</v>
      </c>
      <c r="AK139" s="449" t="e">
        <f>VLOOKUP(#REF!,U10対戦スケジュール!#REF!,3,TRUE)</f>
        <v>#REF!</v>
      </c>
      <c r="AL139" s="449" t="e">
        <f>VLOOKUP(#REF!,U10対戦スケジュール!#REF!,3,TRUE)</f>
        <v>#REF!</v>
      </c>
      <c r="AM139" s="449" t="e">
        <f>VLOOKUP(#REF!,U10対戦スケジュール!#REF!,3,TRUE)</f>
        <v>#REF!</v>
      </c>
      <c r="AN139" s="449" t="e">
        <f>VLOOKUP(#REF!,U10対戦スケジュール!#REF!,3,TRUE)</f>
        <v>#REF!</v>
      </c>
      <c r="AO139" s="449" t="e">
        <f>VLOOKUP(#REF!,U10対戦スケジュール!#REF!,3,TRUE)</f>
        <v>#REF!</v>
      </c>
      <c r="AP139" s="449" t="e">
        <f>VLOOKUP(#REF!,U10対戦スケジュール!#REF!,3,TRUE)</f>
        <v>#REF!</v>
      </c>
      <c r="AR139" s="151"/>
      <c r="AS139" s="151"/>
    </row>
    <row r="140" spans="1:45" ht="20.100000000000001" customHeight="1" x14ac:dyDescent="0.4">
      <c r="B140" s="442" t="str">
        <f ca="1">DBCS(INDIRECT("U10対戦スケジュール!A"&amp;(ROW())/2-AR$131))</f>
        <v>③</v>
      </c>
      <c r="C140" s="461">
        <f ca="1">VLOOKUP(B140,U10対戦スケジュール!A$8:F$11,2,TRUE)</f>
        <v>0.43779999999999997</v>
      </c>
      <c r="D140" s="462"/>
      <c r="E140" s="463"/>
      <c r="F140" s="449"/>
      <c r="G140" s="449"/>
      <c r="H140" s="449"/>
      <c r="I140" s="449"/>
      <c r="J140" s="467" t="str">
        <f ca="1">VLOOKUP(AR140,U10組合せ!$B$10:$I$17,3,TRUE)</f>
        <v>上河内JSC</v>
      </c>
      <c r="K140" s="468"/>
      <c r="L140" s="468"/>
      <c r="M140" s="468"/>
      <c r="N140" s="468"/>
      <c r="O140" s="468"/>
      <c r="P140" s="468"/>
      <c r="Q140" s="446">
        <f>IF(OR(S140="",S141=""),"",S140+S141)</f>
        <v>1</v>
      </c>
      <c r="R140" s="446"/>
      <c r="S140" s="136">
        <v>1</v>
      </c>
      <c r="T140" s="137" t="s">
        <v>8</v>
      </c>
      <c r="U140" s="136">
        <v>0</v>
      </c>
      <c r="V140" s="446">
        <f>IF(OR(U140="",U141=""),"",U140+U141)</f>
        <v>4</v>
      </c>
      <c r="W140" s="446"/>
      <c r="X140" s="467" t="str">
        <f ca="1">VLOOKUP(AS140,U10組合せ!$B$10:$I$17,3,TRUE)</f>
        <v>unionscU10</v>
      </c>
      <c r="Y140" s="468"/>
      <c r="Z140" s="468"/>
      <c r="AA140" s="468"/>
      <c r="AB140" s="468"/>
      <c r="AC140" s="468"/>
      <c r="AD140" s="468"/>
      <c r="AE140" s="449"/>
      <c r="AF140" s="449"/>
      <c r="AG140" s="449"/>
      <c r="AH140" s="449"/>
      <c r="AI140" s="446" t="str">
        <f ca="1">DBCS(VLOOKUP(B140,U10対戦スケジュール!A$45:F$48,6,TRUE))</f>
        <v>８／１／１／８</v>
      </c>
      <c r="AJ140" s="449" t="e">
        <f>VLOOKUP(#REF!,U10対戦スケジュール!#REF!,3,TRUE)</f>
        <v>#REF!</v>
      </c>
      <c r="AK140" s="449" t="e">
        <f>VLOOKUP(#REF!,U10対戦スケジュール!#REF!,3,TRUE)</f>
        <v>#REF!</v>
      </c>
      <c r="AL140" s="449" t="e">
        <f>VLOOKUP(#REF!,U10対戦スケジュール!#REF!,3,TRUE)</f>
        <v>#REF!</v>
      </c>
      <c r="AM140" s="449" t="e">
        <f>VLOOKUP(#REF!,U10対戦スケジュール!#REF!,3,TRUE)</f>
        <v>#REF!</v>
      </c>
      <c r="AN140" s="449" t="e">
        <f>VLOOKUP(#REF!,U10対戦スケジュール!#REF!,3,TRUE)</f>
        <v>#REF!</v>
      </c>
      <c r="AO140" s="449" t="e">
        <f>VLOOKUP(#REF!,U10対戦スケジュール!#REF!,3,TRUE)</f>
        <v>#REF!</v>
      </c>
      <c r="AP140" s="449" t="e">
        <f>VLOOKUP(#REF!,U10対戦スケジュール!#REF!,3,TRUE)</f>
        <v>#REF!</v>
      </c>
      <c r="AR140" s="151">
        <f ca="1">VLOOKUP(B140,U10対戦スケジュール!A$45:F$48,3,TRUE)</f>
        <v>7</v>
      </c>
      <c r="AS140" s="151">
        <f ca="1">VLOOKUP(B140,U10対戦スケジュール!A$45:F$48,5)</f>
        <v>2</v>
      </c>
    </row>
    <row r="141" spans="1:45" ht="20.100000000000001" customHeight="1" x14ac:dyDescent="0.4">
      <c r="B141" s="442"/>
      <c r="C141" s="464"/>
      <c r="D141" s="465"/>
      <c r="E141" s="466"/>
      <c r="F141" s="449"/>
      <c r="G141" s="449"/>
      <c r="H141" s="449"/>
      <c r="I141" s="449"/>
      <c r="J141" s="468"/>
      <c r="K141" s="468"/>
      <c r="L141" s="468"/>
      <c r="M141" s="468"/>
      <c r="N141" s="468"/>
      <c r="O141" s="468"/>
      <c r="P141" s="468"/>
      <c r="Q141" s="446"/>
      <c r="R141" s="446"/>
      <c r="S141" s="136">
        <v>0</v>
      </c>
      <c r="T141" s="137" t="s">
        <v>8</v>
      </c>
      <c r="U141" s="136">
        <v>4</v>
      </c>
      <c r="V141" s="446"/>
      <c r="W141" s="446"/>
      <c r="X141" s="468"/>
      <c r="Y141" s="468"/>
      <c r="Z141" s="468"/>
      <c r="AA141" s="468"/>
      <c r="AB141" s="468"/>
      <c r="AC141" s="468"/>
      <c r="AD141" s="468"/>
      <c r="AE141" s="449"/>
      <c r="AF141" s="449"/>
      <c r="AG141" s="449"/>
      <c r="AH141" s="449"/>
      <c r="AI141" s="449" t="e">
        <f>VLOOKUP(#REF!,U10対戦スケジュール!#REF!,3,TRUE)</f>
        <v>#REF!</v>
      </c>
      <c r="AJ141" s="449" t="e">
        <f>VLOOKUP(#REF!,U10対戦スケジュール!#REF!,3,TRUE)</f>
        <v>#REF!</v>
      </c>
      <c r="AK141" s="449" t="e">
        <f>VLOOKUP(#REF!,U10対戦スケジュール!#REF!,3,TRUE)</f>
        <v>#REF!</v>
      </c>
      <c r="AL141" s="449" t="e">
        <f>VLOOKUP(#REF!,U10対戦スケジュール!#REF!,3,TRUE)</f>
        <v>#REF!</v>
      </c>
      <c r="AM141" s="449" t="e">
        <f>VLOOKUP(#REF!,U10対戦スケジュール!#REF!,3,TRUE)</f>
        <v>#REF!</v>
      </c>
      <c r="AN141" s="449" t="e">
        <f>VLOOKUP(#REF!,U10対戦スケジュール!#REF!,3,TRUE)</f>
        <v>#REF!</v>
      </c>
      <c r="AO141" s="449" t="e">
        <f>VLOOKUP(#REF!,U10対戦スケジュール!#REF!,3,TRUE)</f>
        <v>#REF!</v>
      </c>
      <c r="AP141" s="449" t="e">
        <f>VLOOKUP(#REF!,U10対戦スケジュール!#REF!,3,TRUE)</f>
        <v>#REF!</v>
      </c>
      <c r="AR141" s="151"/>
      <c r="AS141" s="151"/>
    </row>
    <row r="142" spans="1:45" ht="20.100000000000001" customHeight="1" x14ac:dyDescent="0.4">
      <c r="B142" s="442" t="str">
        <f ca="1">DBCS(INDIRECT("U10対戦スケジュール!A"&amp;(ROW())/2-AR$131))</f>
        <v>④</v>
      </c>
      <c r="C142" s="461">
        <f ca="1">VLOOKUP(B142,U10対戦スケジュール!A$8:F$11,2,TRUE)</f>
        <v>0.46559999999999996</v>
      </c>
      <c r="D142" s="462"/>
      <c r="E142" s="463"/>
      <c r="F142" s="449"/>
      <c r="G142" s="449"/>
      <c r="H142" s="449"/>
      <c r="I142" s="449"/>
      <c r="J142" s="467" t="str">
        <f ca="1">VLOOKUP(AR142,U10組合せ!$B$10:$I$17,3,TRUE)</f>
        <v>富士見SSS</v>
      </c>
      <c r="K142" s="468"/>
      <c r="L142" s="468"/>
      <c r="M142" s="468"/>
      <c r="N142" s="468"/>
      <c r="O142" s="468"/>
      <c r="P142" s="468"/>
      <c r="Q142" s="446">
        <f>IF(OR(S142="",S143=""),"",S142+S143)</f>
        <v>0</v>
      </c>
      <c r="R142" s="446"/>
      <c r="S142" s="136">
        <v>0</v>
      </c>
      <c r="T142" s="137" t="s">
        <v>8</v>
      </c>
      <c r="U142" s="136">
        <v>2</v>
      </c>
      <c r="V142" s="446">
        <f>IF(OR(U142="",U143=""),"",U142+U143)</f>
        <v>3</v>
      </c>
      <c r="W142" s="446"/>
      <c r="X142" s="467" t="str">
        <f ca="1">VLOOKUP(AS142,U10組合せ!$B$10:$I$17,3,TRUE)</f>
        <v>FC グランディール</v>
      </c>
      <c r="Y142" s="468"/>
      <c r="Z142" s="468"/>
      <c r="AA142" s="468"/>
      <c r="AB142" s="468"/>
      <c r="AC142" s="468"/>
      <c r="AD142" s="468"/>
      <c r="AE142" s="449"/>
      <c r="AF142" s="449"/>
      <c r="AG142" s="449"/>
      <c r="AH142" s="449"/>
      <c r="AI142" s="446" t="str">
        <f ca="1">DBCS(VLOOKUP(B142,U10対戦スケジュール!A$45:F$48,6,TRUE))</f>
        <v>７／２／２／７</v>
      </c>
      <c r="AJ142" s="449" t="e">
        <f>VLOOKUP(#REF!,U10対戦スケジュール!#REF!,3,TRUE)</f>
        <v>#REF!</v>
      </c>
      <c r="AK142" s="449" t="e">
        <f>VLOOKUP(#REF!,U10対戦スケジュール!#REF!,3,TRUE)</f>
        <v>#REF!</v>
      </c>
      <c r="AL142" s="449" t="e">
        <f>VLOOKUP(#REF!,U10対戦スケジュール!#REF!,3,TRUE)</f>
        <v>#REF!</v>
      </c>
      <c r="AM142" s="449" t="e">
        <f>VLOOKUP(#REF!,U10対戦スケジュール!#REF!,3,TRUE)</f>
        <v>#REF!</v>
      </c>
      <c r="AN142" s="449" t="e">
        <f>VLOOKUP(#REF!,U10対戦スケジュール!#REF!,3,TRUE)</f>
        <v>#REF!</v>
      </c>
      <c r="AO142" s="449" t="e">
        <f>VLOOKUP(#REF!,U10対戦スケジュール!#REF!,3,TRUE)</f>
        <v>#REF!</v>
      </c>
      <c r="AP142" s="449" t="e">
        <f>VLOOKUP(#REF!,U10対戦スケジュール!#REF!,3,TRUE)</f>
        <v>#REF!</v>
      </c>
      <c r="AR142" s="151">
        <f ca="1">VLOOKUP(B142,U10対戦スケジュール!A$45:F$48,3,TRUE)</f>
        <v>1</v>
      </c>
      <c r="AS142" s="151">
        <f ca="1">VLOOKUP(B142,U10対戦スケジュール!A$45:F$48,5)</f>
        <v>8</v>
      </c>
    </row>
    <row r="143" spans="1:45" ht="20.100000000000001" customHeight="1" x14ac:dyDescent="0.4">
      <c r="B143" s="442"/>
      <c r="C143" s="464"/>
      <c r="D143" s="465"/>
      <c r="E143" s="466"/>
      <c r="F143" s="449"/>
      <c r="G143" s="449"/>
      <c r="H143" s="449"/>
      <c r="I143" s="449"/>
      <c r="J143" s="468"/>
      <c r="K143" s="468"/>
      <c r="L143" s="468"/>
      <c r="M143" s="468"/>
      <c r="N143" s="468"/>
      <c r="O143" s="468"/>
      <c r="P143" s="468"/>
      <c r="Q143" s="446"/>
      <c r="R143" s="446"/>
      <c r="S143" s="136">
        <v>0</v>
      </c>
      <c r="T143" s="137" t="s">
        <v>8</v>
      </c>
      <c r="U143" s="136">
        <v>1</v>
      </c>
      <c r="V143" s="446"/>
      <c r="W143" s="446"/>
      <c r="X143" s="468"/>
      <c r="Y143" s="468"/>
      <c r="Z143" s="468"/>
      <c r="AA143" s="468"/>
      <c r="AB143" s="468"/>
      <c r="AC143" s="468"/>
      <c r="AD143" s="468"/>
      <c r="AE143" s="449"/>
      <c r="AF143" s="449"/>
      <c r="AG143" s="449"/>
      <c r="AH143" s="449"/>
      <c r="AI143" s="449" t="e">
        <f>VLOOKUP(#REF!,U10対戦スケジュール!#REF!,3,TRUE)</f>
        <v>#REF!</v>
      </c>
      <c r="AJ143" s="449" t="e">
        <f>VLOOKUP(#REF!,U10対戦スケジュール!#REF!,3,TRUE)</f>
        <v>#REF!</v>
      </c>
      <c r="AK143" s="449" t="e">
        <f>VLOOKUP(#REF!,U10対戦スケジュール!#REF!,3,TRUE)</f>
        <v>#REF!</v>
      </c>
      <c r="AL143" s="449" t="e">
        <f>VLOOKUP(#REF!,U10対戦スケジュール!#REF!,3,TRUE)</f>
        <v>#REF!</v>
      </c>
      <c r="AM143" s="449" t="e">
        <f>VLOOKUP(#REF!,U10対戦スケジュール!#REF!,3,TRUE)</f>
        <v>#REF!</v>
      </c>
      <c r="AN143" s="449" t="e">
        <f>VLOOKUP(#REF!,U10対戦スケジュール!#REF!,3,TRUE)</f>
        <v>#REF!</v>
      </c>
      <c r="AO143" s="449" t="e">
        <f>VLOOKUP(#REF!,U10対戦スケジュール!#REF!,3,TRUE)</f>
        <v>#REF!</v>
      </c>
      <c r="AP143" s="449" t="e">
        <f>VLOOKUP(#REF!,U10対戦スケジュール!#REF!,3,TRUE)</f>
        <v>#REF!</v>
      </c>
      <c r="AR143" s="151"/>
      <c r="AS143" s="151"/>
    </row>
    <row r="144" spans="1:45" ht="20.100000000000001" customHeight="1" x14ac:dyDescent="0.4">
      <c r="B144" s="442" t="str">
        <f ca="1">DBCS(INDIRECT("U10対戦スケジュール!A"&amp;(ROW())/2+2))</f>
        <v/>
      </c>
      <c r="C144" s="450"/>
      <c r="D144" s="450"/>
      <c r="E144" s="450"/>
      <c r="F144" s="449"/>
      <c r="G144" s="449"/>
      <c r="H144" s="449"/>
      <c r="I144" s="449"/>
      <c r="J144" s="447"/>
      <c r="K144" s="448"/>
      <c r="L144" s="448"/>
      <c r="M144" s="448"/>
      <c r="N144" s="448"/>
      <c r="O144" s="448"/>
      <c r="P144" s="448"/>
      <c r="Q144" s="446"/>
      <c r="R144" s="446"/>
      <c r="S144" s="136"/>
      <c r="T144" s="137"/>
      <c r="U144" s="136"/>
      <c r="V144" s="446"/>
      <c r="W144" s="446"/>
      <c r="X144" s="447"/>
      <c r="Y144" s="448"/>
      <c r="Z144" s="448"/>
      <c r="AA144" s="448"/>
      <c r="AB144" s="448"/>
      <c r="AC144" s="448"/>
      <c r="AD144" s="448"/>
      <c r="AE144" s="449"/>
      <c r="AF144" s="449"/>
      <c r="AG144" s="449"/>
      <c r="AH144" s="449"/>
      <c r="AI144" s="446"/>
      <c r="AJ144" s="449"/>
      <c r="AK144" s="449"/>
      <c r="AL144" s="449"/>
      <c r="AM144" s="449"/>
      <c r="AN144" s="449"/>
      <c r="AO144" s="449"/>
      <c r="AP144" s="449"/>
      <c r="AR144" s="151"/>
      <c r="AS144" s="151"/>
    </row>
    <row r="145" spans="1:45" ht="20.100000000000001" customHeight="1" x14ac:dyDescent="0.4">
      <c r="B145" s="442"/>
      <c r="C145" s="450"/>
      <c r="D145" s="450"/>
      <c r="E145" s="450"/>
      <c r="F145" s="449"/>
      <c r="G145" s="449"/>
      <c r="H145" s="449"/>
      <c r="I145" s="449"/>
      <c r="J145" s="448"/>
      <c r="K145" s="448"/>
      <c r="L145" s="448"/>
      <c r="M145" s="448"/>
      <c r="N145" s="448"/>
      <c r="O145" s="448"/>
      <c r="P145" s="448"/>
      <c r="Q145" s="446"/>
      <c r="R145" s="446"/>
      <c r="S145" s="136"/>
      <c r="T145" s="137"/>
      <c r="U145" s="136"/>
      <c r="V145" s="446"/>
      <c r="W145" s="446"/>
      <c r="X145" s="448"/>
      <c r="Y145" s="448"/>
      <c r="Z145" s="448"/>
      <c r="AA145" s="448"/>
      <c r="AB145" s="448"/>
      <c r="AC145" s="448"/>
      <c r="AD145" s="448"/>
      <c r="AE145" s="449"/>
      <c r="AF145" s="449"/>
      <c r="AG145" s="449"/>
      <c r="AH145" s="449"/>
      <c r="AI145" s="449"/>
      <c r="AJ145" s="449"/>
      <c r="AK145" s="449"/>
      <c r="AL145" s="449"/>
      <c r="AM145" s="449"/>
      <c r="AN145" s="449"/>
      <c r="AO145" s="449"/>
      <c r="AP145" s="449"/>
      <c r="AR145" s="151"/>
      <c r="AS145" s="151"/>
    </row>
    <row r="146" spans="1:45" ht="20.100000000000001" customHeight="1" x14ac:dyDescent="0.4">
      <c r="B146" s="442"/>
      <c r="C146" s="450"/>
      <c r="D146" s="450"/>
      <c r="E146" s="450"/>
      <c r="F146" s="449"/>
      <c r="G146" s="449"/>
      <c r="H146" s="449"/>
      <c r="I146" s="449"/>
      <c r="J146" s="447"/>
      <c r="K146" s="448"/>
      <c r="L146" s="448"/>
      <c r="M146" s="448"/>
      <c r="N146" s="448"/>
      <c r="O146" s="448"/>
      <c r="P146" s="448"/>
      <c r="Q146" s="446"/>
      <c r="R146" s="446"/>
      <c r="S146" s="136"/>
      <c r="T146" s="137"/>
      <c r="U146" s="136"/>
      <c r="V146" s="446"/>
      <c r="W146" s="446"/>
      <c r="X146" s="447"/>
      <c r="Y146" s="448"/>
      <c r="Z146" s="448"/>
      <c r="AA146" s="448"/>
      <c r="AB146" s="448"/>
      <c r="AC146" s="448"/>
      <c r="AD146" s="448"/>
      <c r="AE146" s="449"/>
      <c r="AF146" s="449"/>
      <c r="AG146" s="449"/>
      <c r="AH146" s="449"/>
      <c r="AI146" s="446"/>
      <c r="AJ146" s="449"/>
      <c r="AK146" s="449"/>
      <c r="AL146" s="449"/>
      <c r="AM146" s="449"/>
      <c r="AN146" s="449"/>
      <c r="AO146" s="449"/>
      <c r="AP146" s="449"/>
      <c r="AR146" s="156">
        <f ca="1">VLOOKUP(B136,U10対戦スケジュール!A$8:F$11,2,TRUE)</f>
        <v>0.375</v>
      </c>
      <c r="AS146" s="151"/>
    </row>
    <row r="147" spans="1:45" ht="20.100000000000001" customHeight="1" x14ac:dyDescent="0.4">
      <c r="B147" s="442"/>
      <c r="C147" s="450"/>
      <c r="D147" s="450"/>
      <c r="E147" s="450"/>
      <c r="F147" s="449"/>
      <c r="G147" s="449"/>
      <c r="H147" s="449"/>
      <c r="I147" s="449"/>
      <c r="J147" s="448"/>
      <c r="K147" s="448"/>
      <c r="L147" s="448"/>
      <c r="M147" s="448"/>
      <c r="N147" s="448"/>
      <c r="O147" s="448"/>
      <c r="P147" s="448"/>
      <c r="Q147" s="446"/>
      <c r="R147" s="446"/>
      <c r="S147" s="136"/>
      <c r="T147" s="137"/>
      <c r="U147" s="136"/>
      <c r="V147" s="446"/>
      <c r="W147" s="446"/>
      <c r="X147" s="448"/>
      <c r="Y147" s="448"/>
      <c r="Z147" s="448"/>
      <c r="AA147" s="448"/>
      <c r="AB147" s="448"/>
      <c r="AC147" s="448"/>
      <c r="AD147" s="448"/>
      <c r="AE147" s="449"/>
      <c r="AF147" s="449"/>
      <c r="AG147" s="449"/>
      <c r="AH147" s="449"/>
      <c r="AI147" s="449"/>
      <c r="AJ147" s="449"/>
      <c r="AK147" s="449"/>
      <c r="AL147" s="449"/>
      <c r="AM147" s="449"/>
      <c r="AN147" s="449"/>
      <c r="AO147" s="449"/>
      <c r="AP147" s="449"/>
      <c r="AR147" s="151"/>
      <c r="AS147" s="151"/>
    </row>
    <row r="148" spans="1:45" ht="20.100000000000001" customHeight="1" x14ac:dyDescent="0.4">
      <c r="B148" s="442"/>
      <c r="C148" s="450"/>
      <c r="D148" s="450"/>
      <c r="E148" s="450"/>
      <c r="F148" s="449"/>
      <c r="G148" s="449"/>
      <c r="H148" s="449"/>
      <c r="I148" s="449"/>
      <c r="J148" s="447"/>
      <c r="K148" s="448"/>
      <c r="L148" s="448"/>
      <c r="M148" s="448"/>
      <c r="N148" s="448"/>
      <c r="O148" s="448"/>
      <c r="P148" s="448"/>
      <c r="Q148" s="446"/>
      <c r="R148" s="446"/>
      <c r="S148" s="136"/>
      <c r="T148" s="137"/>
      <c r="U148" s="136"/>
      <c r="V148" s="446"/>
      <c r="W148" s="446"/>
      <c r="X148" s="447"/>
      <c r="Y148" s="448"/>
      <c r="Z148" s="448"/>
      <c r="AA148" s="448"/>
      <c r="AB148" s="448"/>
      <c r="AC148" s="448"/>
      <c r="AD148" s="448"/>
      <c r="AE148" s="449"/>
      <c r="AF148" s="449"/>
      <c r="AG148" s="449"/>
      <c r="AH148" s="449"/>
      <c r="AI148" s="446"/>
      <c r="AJ148" s="449"/>
      <c r="AK148" s="449"/>
      <c r="AL148" s="449"/>
      <c r="AM148" s="449"/>
      <c r="AN148" s="449"/>
      <c r="AO148" s="449"/>
      <c r="AP148" s="449"/>
      <c r="AR148" s="151"/>
      <c r="AS148" s="151"/>
    </row>
    <row r="149" spans="1:45" ht="20.100000000000001" customHeight="1" x14ac:dyDescent="0.4">
      <c r="B149" s="442"/>
      <c r="C149" s="450"/>
      <c r="D149" s="450"/>
      <c r="E149" s="450"/>
      <c r="F149" s="449"/>
      <c r="G149" s="449"/>
      <c r="H149" s="449"/>
      <c r="I149" s="449"/>
      <c r="J149" s="448"/>
      <c r="K149" s="448"/>
      <c r="L149" s="448"/>
      <c r="M149" s="448"/>
      <c r="N149" s="448"/>
      <c r="O149" s="448"/>
      <c r="P149" s="448"/>
      <c r="Q149" s="446"/>
      <c r="R149" s="446"/>
      <c r="S149" s="136"/>
      <c r="T149" s="137"/>
      <c r="U149" s="136"/>
      <c r="V149" s="446"/>
      <c r="W149" s="446"/>
      <c r="X149" s="448"/>
      <c r="Y149" s="448"/>
      <c r="Z149" s="448"/>
      <c r="AA149" s="448"/>
      <c r="AB149" s="448"/>
      <c r="AC149" s="448"/>
      <c r="AD149" s="448"/>
      <c r="AE149" s="449"/>
      <c r="AF149" s="449"/>
      <c r="AG149" s="449"/>
      <c r="AH149" s="449"/>
      <c r="AI149" s="449"/>
      <c r="AJ149" s="449"/>
      <c r="AK149" s="449"/>
      <c r="AL149" s="449"/>
      <c r="AM149" s="449"/>
      <c r="AN149" s="449"/>
      <c r="AO149" s="449"/>
      <c r="AP149" s="449"/>
    </row>
    <row r="150" spans="1:45" ht="15.75" customHeight="1" x14ac:dyDescent="0.4">
      <c r="A150" s="138"/>
      <c r="B150" s="139"/>
      <c r="C150" s="140"/>
      <c r="D150" s="140"/>
      <c r="E150" s="140"/>
      <c r="F150" s="139"/>
      <c r="G150" s="139"/>
      <c r="H150" s="139"/>
      <c r="I150" s="139"/>
      <c r="J150" s="139"/>
      <c r="K150" s="141"/>
      <c r="L150" s="141"/>
      <c r="M150" s="142"/>
      <c r="N150" s="143"/>
      <c r="O150" s="142"/>
      <c r="P150" s="141"/>
      <c r="Q150" s="141"/>
      <c r="R150" s="139"/>
      <c r="S150" s="139"/>
      <c r="T150" s="139"/>
      <c r="U150" s="139"/>
      <c r="V150" s="139"/>
      <c r="W150" s="144"/>
      <c r="X150" s="144"/>
      <c r="Y150" s="144"/>
      <c r="Z150" s="144"/>
      <c r="AA150" s="144"/>
      <c r="AB150" s="144"/>
      <c r="AC150" s="138"/>
    </row>
    <row r="151" spans="1:45" ht="20.25" customHeight="1" x14ac:dyDescent="0.4">
      <c r="D151" s="442" t="s">
        <v>9</v>
      </c>
      <c r="E151" s="442"/>
      <c r="F151" s="442"/>
      <c r="G151" s="442"/>
      <c r="H151" s="442"/>
      <c r="I151" s="442"/>
      <c r="J151" s="442" t="s">
        <v>5</v>
      </c>
      <c r="K151" s="442"/>
      <c r="L151" s="442"/>
      <c r="M151" s="442"/>
      <c r="N151" s="442"/>
      <c r="O151" s="442"/>
      <c r="P151" s="442"/>
      <c r="Q151" s="442"/>
      <c r="R151" s="443" t="s">
        <v>10</v>
      </c>
      <c r="S151" s="443"/>
      <c r="T151" s="443"/>
      <c r="U151" s="443"/>
      <c r="V151" s="443"/>
      <c r="W151" s="443"/>
      <c r="X151" s="443"/>
      <c r="Y151" s="443"/>
      <c r="Z151" s="443"/>
      <c r="AA151" s="444" t="s">
        <v>11</v>
      </c>
      <c r="AB151" s="444"/>
      <c r="AC151" s="444"/>
      <c r="AD151" s="444" t="s">
        <v>12</v>
      </c>
      <c r="AE151" s="444"/>
      <c r="AF151" s="444"/>
      <c r="AG151" s="444"/>
      <c r="AH151" s="444"/>
      <c r="AI151" s="444"/>
      <c r="AJ151" s="444"/>
      <c r="AK151" s="444"/>
      <c r="AL151" s="444"/>
      <c r="AM151" s="444"/>
    </row>
    <row r="152" spans="1:45" ht="30" customHeight="1" x14ac:dyDescent="0.4">
      <c r="D152" s="442" t="s">
        <v>13</v>
      </c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  <c r="O152" s="442"/>
      <c r="P152" s="442"/>
      <c r="Q152" s="442"/>
      <c r="R152" s="443"/>
      <c r="S152" s="443"/>
      <c r="T152" s="443"/>
      <c r="U152" s="443"/>
      <c r="V152" s="443"/>
      <c r="W152" s="443"/>
      <c r="X152" s="443"/>
      <c r="Y152" s="443"/>
      <c r="Z152" s="443"/>
      <c r="AA152" s="445"/>
      <c r="AB152" s="445"/>
      <c r="AC152" s="445"/>
      <c r="AD152" s="441"/>
      <c r="AE152" s="441"/>
      <c r="AF152" s="441"/>
      <c r="AG152" s="441"/>
      <c r="AH152" s="441"/>
      <c r="AI152" s="441"/>
      <c r="AJ152" s="441"/>
      <c r="AK152" s="441"/>
      <c r="AL152" s="441"/>
      <c r="AM152" s="441"/>
    </row>
    <row r="153" spans="1:45" ht="30" customHeight="1" x14ac:dyDescent="0.4">
      <c r="D153" s="442" t="s">
        <v>13</v>
      </c>
      <c r="E153" s="442"/>
      <c r="F153" s="442"/>
      <c r="G153" s="442"/>
      <c r="H153" s="442"/>
      <c r="I153" s="442"/>
      <c r="J153" s="442"/>
      <c r="K153" s="442"/>
      <c r="L153" s="442"/>
      <c r="M153" s="442"/>
      <c r="N153" s="442"/>
      <c r="O153" s="442"/>
      <c r="P153" s="442"/>
      <c r="Q153" s="442"/>
      <c r="R153" s="443"/>
      <c r="S153" s="443"/>
      <c r="T153" s="443"/>
      <c r="U153" s="443"/>
      <c r="V153" s="443"/>
      <c r="W153" s="443"/>
      <c r="X153" s="443"/>
      <c r="Y153" s="443"/>
      <c r="Z153" s="443"/>
      <c r="AA153" s="444"/>
      <c r="AB153" s="444"/>
      <c r="AC153" s="444"/>
      <c r="AD153" s="441"/>
      <c r="AE153" s="441"/>
      <c r="AF153" s="441"/>
      <c r="AG153" s="441"/>
      <c r="AH153" s="441"/>
      <c r="AI153" s="441"/>
      <c r="AJ153" s="441"/>
      <c r="AK153" s="441"/>
      <c r="AL153" s="441"/>
      <c r="AM153" s="441"/>
    </row>
    <row r="154" spans="1:45" ht="30" customHeight="1" x14ac:dyDescent="0.4">
      <c r="D154" s="442" t="s">
        <v>13</v>
      </c>
      <c r="E154" s="442"/>
      <c r="F154" s="442"/>
      <c r="G154" s="442"/>
      <c r="H154" s="442"/>
      <c r="I154" s="442"/>
      <c r="J154" s="442"/>
      <c r="K154" s="442"/>
      <c r="L154" s="442"/>
      <c r="M154" s="442"/>
      <c r="N154" s="442"/>
      <c r="O154" s="442"/>
      <c r="P154" s="442"/>
      <c r="Q154" s="442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4"/>
      <c r="AB154" s="444"/>
      <c r="AC154" s="444"/>
      <c r="AD154" s="441"/>
      <c r="AE154" s="441"/>
      <c r="AF154" s="441"/>
      <c r="AG154" s="441"/>
      <c r="AH154" s="441"/>
      <c r="AI154" s="441"/>
      <c r="AJ154" s="441"/>
      <c r="AK154" s="441"/>
      <c r="AL154" s="441"/>
      <c r="AM154" s="441"/>
    </row>
    <row r="155" spans="1:45" ht="14.25" customHeight="1" x14ac:dyDescent="0.4">
      <c r="A155" s="274"/>
      <c r="B155" s="274"/>
    </row>
    <row r="156" spans="1:45" ht="21" customHeight="1" x14ac:dyDescent="0.4">
      <c r="A156" s="274"/>
      <c r="B156" s="489" t="str">
        <f>U10組合せ!$B$1</f>
        <v>ＪＦＡ　Ｕ-１０サッカーリーグ2021（in栃木） 宇都宮地区リーグ戦（前期）</v>
      </c>
      <c r="C156" s="489"/>
      <c r="D156" s="489"/>
      <c r="E156" s="489"/>
      <c r="F156" s="489"/>
      <c r="G156" s="489"/>
      <c r="H156" s="489"/>
      <c r="I156" s="489"/>
      <c r="J156" s="489"/>
      <c r="K156" s="489"/>
      <c r="L156" s="489"/>
      <c r="M156" s="489"/>
      <c r="N156" s="489"/>
      <c r="O156" s="489"/>
      <c r="P156" s="489"/>
      <c r="Q156" s="489"/>
      <c r="R156" s="489"/>
      <c r="S156" s="489"/>
      <c r="T156" s="489"/>
      <c r="U156" s="489"/>
      <c r="V156" s="489"/>
      <c r="W156" s="489"/>
      <c r="X156" s="489"/>
      <c r="Y156" s="489"/>
      <c r="Z156" s="489"/>
      <c r="AA156" s="489"/>
      <c r="AB156" s="489"/>
      <c r="AC156" s="490" t="str">
        <f>"【"&amp;(U10組合せ!$D$3)&amp;"】"</f>
        <v>【Ａ ブロック】</v>
      </c>
      <c r="AD156" s="490"/>
      <c r="AE156" s="490"/>
      <c r="AF156" s="490"/>
      <c r="AG156" s="490"/>
      <c r="AH156" s="490"/>
      <c r="AI156" s="490"/>
      <c r="AJ156" s="490"/>
      <c r="AK156" s="490" t="str">
        <f>"第"&amp;(U10組合せ!$D$31)</f>
        <v>第３節</v>
      </c>
      <c r="AL156" s="490"/>
      <c r="AM156" s="490"/>
      <c r="AN156" s="490"/>
      <c r="AO156" s="490"/>
      <c r="AP156" s="491" t="s">
        <v>196</v>
      </c>
      <c r="AQ156" s="492"/>
    </row>
    <row r="157" spans="1:45" ht="21" customHeight="1" x14ac:dyDescent="0.4">
      <c r="A157" s="274"/>
      <c r="B157" s="489"/>
      <c r="C157" s="489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/>
      <c r="AB157" s="489"/>
      <c r="AC157" s="490"/>
      <c r="AD157" s="490"/>
      <c r="AE157" s="490"/>
      <c r="AF157" s="490"/>
      <c r="AG157" s="490"/>
      <c r="AH157" s="490"/>
      <c r="AI157" s="490"/>
      <c r="AJ157" s="490"/>
      <c r="AK157" s="490"/>
      <c r="AL157" s="490"/>
      <c r="AM157" s="490"/>
      <c r="AN157" s="490"/>
      <c r="AO157" s="490"/>
      <c r="AP157" s="492"/>
      <c r="AQ157" s="492"/>
    </row>
    <row r="158" spans="1:45" ht="27.75" customHeight="1" x14ac:dyDescent="0.4">
      <c r="C158" s="477" t="s">
        <v>1</v>
      </c>
      <c r="D158" s="477"/>
      <c r="E158" s="477"/>
      <c r="F158" s="477"/>
      <c r="G158" s="478" t="str">
        <f>U10対戦スケジュール!C51</f>
        <v>石井 4　PM</v>
      </c>
      <c r="H158" s="479"/>
      <c r="I158" s="479"/>
      <c r="J158" s="479"/>
      <c r="K158" s="479"/>
      <c r="L158" s="479"/>
      <c r="M158" s="479"/>
      <c r="N158" s="479"/>
      <c r="O158" s="480"/>
      <c r="P158" s="477" t="s">
        <v>0</v>
      </c>
      <c r="Q158" s="477"/>
      <c r="R158" s="477"/>
      <c r="S158" s="477"/>
      <c r="T158" s="481" t="str">
        <f ca="1">X169</f>
        <v>ともぞうSC U10</v>
      </c>
      <c r="U158" s="481"/>
      <c r="V158" s="481"/>
      <c r="W158" s="481"/>
      <c r="X158" s="481"/>
      <c r="Y158" s="481"/>
      <c r="Z158" s="481"/>
      <c r="AA158" s="481"/>
      <c r="AB158" s="481"/>
      <c r="AC158" s="477" t="s">
        <v>2</v>
      </c>
      <c r="AD158" s="477"/>
      <c r="AE158" s="477"/>
      <c r="AF158" s="477"/>
      <c r="AG158" s="482">
        <f>U10組合せ!B31</f>
        <v>44325</v>
      </c>
      <c r="AH158" s="483"/>
      <c r="AI158" s="483"/>
      <c r="AJ158" s="483"/>
      <c r="AK158" s="483"/>
      <c r="AL158" s="483"/>
      <c r="AM158" s="484" t="str">
        <f>"（"&amp;TEXT(AG158,"aaa")&amp;"）"</f>
        <v>（日）</v>
      </c>
      <c r="AN158" s="484"/>
      <c r="AO158" s="485"/>
    </row>
    <row r="159" spans="1:45" ht="15" customHeight="1" x14ac:dyDescent="0.4">
      <c r="C159" s="134" t="str">
        <f>U10組合せ!E34</f>
        <v>A3456</v>
      </c>
      <c r="D159" s="138"/>
      <c r="E159" s="138"/>
      <c r="F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3"/>
      <c r="X159" s="133"/>
      <c r="Y159" s="133"/>
      <c r="Z159" s="133"/>
      <c r="AA159" s="133"/>
      <c r="AB159" s="133"/>
      <c r="AC159" s="133"/>
    </row>
    <row r="160" spans="1:45" s="152" customFormat="1" ht="29.25" customHeight="1" x14ac:dyDescent="0.4">
      <c r="C160" s="472">
        <v>1</v>
      </c>
      <c r="D160" s="472"/>
      <c r="E160" s="473" t="str">
        <f>VLOOKUP(C160,U10組合せ!$B$10:$I$17,3,TRUE)</f>
        <v>富士見SSS</v>
      </c>
      <c r="F160" s="473"/>
      <c r="G160" s="473"/>
      <c r="H160" s="473"/>
      <c r="I160" s="473"/>
      <c r="J160" s="473"/>
      <c r="K160" s="473"/>
      <c r="L160" s="473"/>
      <c r="M160" s="473"/>
      <c r="N160" s="473"/>
      <c r="O160" s="153"/>
      <c r="P160" s="153"/>
      <c r="Q160" s="474">
        <v>4</v>
      </c>
      <c r="R160" s="474"/>
      <c r="S160" s="475" t="str">
        <f>VLOOKUP(Q160,U10組合せ!$B$10:$I$17,3,TRUE)</f>
        <v>清原シザース</v>
      </c>
      <c r="T160" s="475"/>
      <c r="U160" s="475"/>
      <c r="V160" s="475"/>
      <c r="W160" s="475"/>
      <c r="X160" s="475"/>
      <c r="Y160" s="475"/>
      <c r="Z160" s="475"/>
      <c r="AA160" s="475"/>
      <c r="AB160" s="475"/>
      <c r="AC160" s="154"/>
      <c r="AD160" s="146"/>
      <c r="AE160" s="472">
        <v>7</v>
      </c>
      <c r="AF160" s="472"/>
      <c r="AG160" s="473" t="str">
        <f>VLOOKUP(AE160,U10組合せ!$B$10:$I$17,3,TRUE)</f>
        <v>上河内JSC</v>
      </c>
      <c r="AH160" s="473"/>
      <c r="AI160" s="473"/>
      <c r="AJ160" s="473"/>
      <c r="AK160" s="473"/>
      <c r="AL160" s="473"/>
      <c r="AM160" s="473"/>
      <c r="AN160" s="473"/>
      <c r="AO160" s="473"/>
      <c r="AP160" s="473"/>
      <c r="AR160" s="152">
        <f>166/2</f>
        <v>83</v>
      </c>
    </row>
    <row r="161" spans="2:51" s="152" customFormat="1" ht="29.25" customHeight="1" x14ac:dyDescent="0.4">
      <c r="C161" s="472">
        <v>2</v>
      </c>
      <c r="D161" s="472"/>
      <c r="E161" s="473" t="str">
        <f>VLOOKUP(C161,U10組合せ!$B$10:$I$17,3,TRUE)</f>
        <v>unionscU10</v>
      </c>
      <c r="F161" s="473"/>
      <c r="G161" s="473"/>
      <c r="H161" s="473"/>
      <c r="I161" s="473"/>
      <c r="J161" s="473"/>
      <c r="K161" s="473"/>
      <c r="L161" s="473"/>
      <c r="M161" s="473"/>
      <c r="N161" s="473"/>
      <c r="O161" s="153"/>
      <c r="P161" s="153"/>
      <c r="Q161" s="474">
        <v>5</v>
      </c>
      <c r="R161" s="474"/>
      <c r="S161" s="475" t="str">
        <f>VLOOKUP(Q161,U10組合せ!$B$10:$I$17,3,TRUE)</f>
        <v>サウス宇都宮SC</v>
      </c>
      <c r="T161" s="475"/>
      <c r="U161" s="475"/>
      <c r="V161" s="475"/>
      <c r="W161" s="475"/>
      <c r="X161" s="475"/>
      <c r="Y161" s="475"/>
      <c r="Z161" s="475"/>
      <c r="AA161" s="475"/>
      <c r="AB161" s="475"/>
      <c r="AC161" s="154"/>
      <c r="AD161" s="146"/>
      <c r="AE161" s="472">
        <v>8</v>
      </c>
      <c r="AF161" s="472"/>
      <c r="AG161" s="473" t="str">
        <f>VLOOKUP(AE161,U10組合せ!$B$10:$I$17,3,TRUE)</f>
        <v>FC グランディール</v>
      </c>
      <c r="AH161" s="473"/>
      <c r="AI161" s="473"/>
      <c r="AJ161" s="473"/>
      <c r="AK161" s="473"/>
      <c r="AL161" s="473"/>
      <c r="AM161" s="473"/>
      <c r="AN161" s="473"/>
      <c r="AO161" s="473"/>
      <c r="AP161" s="473"/>
      <c r="AR161" s="152">
        <v>53</v>
      </c>
    </row>
    <row r="162" spans="2:51" s="152" customFormat="1" ht="29.25" customHeight="1" x14ac:dyDescent="0.4">
      <c r="C162" s="474">
        <v>3</v>
      </c>
      <c r="D162" s="474"/>
      <c r="E162" s="475" t="str">
        <f>VLOOKUP(C162,U10組合せ!$B$10:$I$17,3,TRUE)</f>
        <v>ISOSC</v>
      </c>
      <c r="F162" s="475"/>
      <c r="G162" s="475"/>
      <c r="H162" s="475"/>
      <c r="I162" s="475"/>
      <c r="J162" s="475"/>
      <c r="K162" s="475"/>
      <c r="L162" s="475"/>
      <c r="M162" s="475"/>
      <c r="N162" s="475"/>
      <c r="O162" s="153"/>
      <c r="P162" s="153"/>
      <c r="Q162" s="474">
        <v>6</v>
      </c>
      <c r="R162" s="474"/>
      <c r="S162" s="475" t="str">
        <f>VLOOKUP(Q162,U10組合せ!$B$10:$I$17,3,TRUE)</f>
        <v>ともぞうSC U10</v>
      </c>
      <c r="T162" s="475"/>
      <c r="U162" s="475"/>
      <c r="V162" s="475"/>
      <c r="W162" s="475"/>
      <c r="X162" s="475"/>
      <c r="Y162" s="475"/>
      <c r="Z162" s="475"/>
      <c r="AA162" s="475"/>
      <c r="AB162" s="475"/>
      <c r="AC162" s="154"/>
      <c r="AD162" s="146"/>
      <c r="AE162" s="472">
        <v>9</v>
      </c>
      <c r="AF162" s="472"/>
      <c r="AG162" s="473"/>
      <c r="AH162" s="473"/>
      <c r="AI162" s="473"/>
      <c r="AJ162" s="473"/>
      <c r="AK162" s="473"/>
      <c r="AL162" s="473"/>
      <c r="AM162" s="473"/>
      <c r="AN162" s="473"/>
      <c r="AO162" s="473"/>
      <c r="AP162" s="473"/>
      <c r="AR162" s="152">
        <f>AR160-AR161</f>
        <v>30</v>
      </c>
    </row>
    <row r="163" spans="2:51" ht="6.75" customHeight="1" x14ac:dyDescent="0.4">
      <c r="O163" s="138"/>
      <c r="P163" s="138"/>
      <c r="AC163" s="133"/>
    </row>
    <row r="164" spans="2:51" ht="6.75" customHeight="1" x14ac:dyDescent="0.4">
      <c r="C164" s="149"/>
      <c r="D164" s="150"/>
      <c r="E164" s="150"/>
      <c r="F164" s="150"/>
      <c r="G164" s="150"/>
      <c r="H164" s="150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50"/>
      <c r="U164" s="138"/>
      <c r="V164" s="150"/>
      <c r="W164" s="138"/>
      <c r="X164" s="150"/>
      <c r="Y164" s="138"/>
      <c r="Z164" s="150"/>
      <c r="AA164" s="138"/>
      <c r="AB164" s="150"/>
      <c r="AC164" s="150"/>
    </row>
    <row r="165" spans="2:51" ht="21" customHeight="1" x14ac:dyDescent="0.4">
      <c r="B165" s="134" t="s">
        <v>181</v>
      </c>
    </row>
    <row r="166" spans="2:51" ht="20.25" customHeight="1" x14ac:dyDescent="0.4">
      <c r="B166" s="135"/>
      <c r="C166" s="469" t="s">
        <v>3</v>
      </c>
      <c r="D166" s="469"/>
      <c r="E166" s="469"/>
      <c r="F166" s="470" t="s">
        <v>4</v>
      </c>
      <c r="G166" s="470"/>
      <c r="H166" s="470"/>
      <c r="I166" s="470"/>
      <c r="J166" s="469" t="s">
        <v>5</v>
      </c>
      <c r="K166" s="471"/>
      <c r="L166" s="471"/>
      <c r="M166" s="471"/>
      <c r="N166" s="471"/>
      <c r="O166" s="471"/>
      <c r="P166" s="471"/>
      <c r="Q166" s="469" t="s">
        <v>40</v>
      </c>
      <c r="R166" s="469"/>
      <c r="S166" s="469"/>
      <c r="T166" s="469"/>
      <c r="U166" s="469"/>
      <c r="V166" s="469"/>
      <c r="W166" s="469"/>
      <c r="X166" s="469" t="s">
        <v>5</v>
      </c>
      <c r="Y166" s="471"/>
      <c r="Z166" s="471"/>
      <c r="AA166" s="471"/>
      <c r="AB166" s="471"/>
      <c r="AC166" s="471"/>
      <c r="AD166" s="471"/>
      <c r="AE166" s="470" t="s">
        <v>4</v>
      </c>
      <c r="AF166" s="470"/>
      <c r="AG166" s="470"/>
      <c r="AH166" s="470"/>
      <c r="AI166" s="469" t="s">
        <v>7</v>
      </c>
      <c r="AJ166" s="469"/>
      <c r="AK166" s="471"/>
      <c r="AL166" s="471"/>
      <c r="AM166" s="471"/>
      <c r="AN166" s="471"/>
      <c r="AO166" s="471"/>
      <c r="AP166" s="471"/>
    </row>
    <row r="167" spans="2:51" ht="20.100000000000001" customHeight="1" x14ac:dyDescent="0.4">
      <c r="B167" s="442" t="str">
        <f ca="1">DBCS(INDIRECT("U10対戦スケジュール!A"&amp;(ROW()-1)/2-AR$162))</f>
        <v>⑤</v>
      </c>
      <c r="C167" s="461">
        <f ca="1">VLOOKUP(B167,U10対戦スケジュール!A$53:F$56,2,TRUE)</f>
        <v>0.5625</v>
      </c>
      <c r="D167" s="462"/>
      <c r="E167" s="463"/>
      <c r="F167" s="449"/>
      <c r="G167" s="449"/>
      <c r="H167" s="449"/>
      <c r="I167" s="449"/>
      <c r="J167" s="467" t="str">
        <f ca="1">VLOOKUP(AR167,U10組合せ!$B$10:$I$17,3,TRUE)</f>
        <v>ISOSC</v>
      </c>
      <c r="K167" s="468"/>
      <c r="L167" s="468"/>
      <c r="M167" s="468"/>
      <c r="N167" s="468"/>
      <c r="O167" s="468"/>
      <c r="P167" s="468"/>
      <c r="Q167" s="446">
        <f>IF(OR(S167="",S168=""),"",S167+S168)</f>
        <v>10</v>
      </c>
      <c r="R167" s="446"/>
      <c r="S167" s="136">
        <v>2</v>
      </c>
      <c r="T167" s="137" t="s">
        <v>8</v>
      </c>
      <c r="U167" s="136">
        <v>0</v>
      </c>
      <c r="V167" s="446">
        <f>IF(OR(U167="",U168=""),"",U167+U168)</f>
        <v>0</v>
      </c>
      <c r="W167" s="446"/>
      <c r="X167" s="467" t="str">
        <f ca="1">VLOOKUP(AS167,U10組合せ!$B$10:$I$17,3,TRUE)</f>
        <v>サウス宇都宮SC</v>
      </c>
      <c r="Y167" s="468"/>
      <c r="Z167" s="468"/>
      <c r="AA167" s="468"/>
      <c r="AB167" s="468"/>
      <c r="AC167" s="468"/>
      <c r="AD167" s="468"/>
      <c r="AE167" s="449"/>
      <c r="AF167" s="449"/>
      <c r="AG167" s="449"/>
      <c r="AH167" s="449"/>
      <c r="AI167" s="446" t="str">
        <f ca="1">DBCS(VLOOKUP(B167,U10対戦スケジュール!A$53:F$56,6,TRUE))</f>
        <v>４／６／６／４</v>
      </c>
      <c r="AJ167" s="449" t="e">
        <f>VLOOKUP(#REF!,U10対戦スケジュール!#REF!,3,TRUE)</f>
        <v>#REF!</v>
      </c>
      <c r="AK167" s="449" t="e">
        <f>VLOOKUP(#REF!,U10対戦スケジュール!#REF!,3,TRUE)</f>
        <v>#REF!</v>
      </c>
      <c r="AL167" s="449" t="e">
        <f>VLOOKUP(#REF!,U10対戦スケジュール!#REF!,3,TRUE)</f>
        <v>#REF!</v>
      </c>
      <c r="AM167" s="449" t="e">
        <f>VLOOKUP(#REF!,U10対戦スケジュール!#REF!,3,TRUE)</f>
        <v>#REF!</v>
      </c>
      <c r="AN167" s="449" t="e">
        <f>VLOOKUP(#REF!,U10対戦スケジュール!#REF!,3,TRUE)</f>
        <v>#REF!</v>
      </c>
      <c r="AO167" s="449" t="e">
        <f>VLOOKUP(#REF!,U10対戦スケジュール!#REF!,3,TRUE)</f>
        <v>#REF!</v>
      </c>
      <c r="AP167" s="449" t="e">
        <f>VLOOKUP(#REF!,U10対戦スケジュール!#REF!,3,TRUE)</f>
        <v>#REF!</v>
      </c>
      <c r="AR167" s="151">
        <f ca="1">VLOOKUP(B167,U10対戦スケジュール!A$53:F$56,3,TRUE)</f>
        <v>3</v>
      </c>
      <c r="AS167" s="151">
        <f ca="1">VLOOKUP(B167,U10対戦スケジュール!A$53:F$56,5)</f>
        <v>5</v>
      </c>
      <c r="AU167" s="138"/>
      <c r="AV167" s="138"/>
      <c r="AW167" s="138"/>
      <c r="AX167" s="138"/>
      <c r="AY167" s="138"/>
    </row>
    <row r="168" spans="2:51" ht="20.100000000000001" customHeight="1" x14ac:dyDescent="0.4">
      <c r="B168" s="442"/>
      <c r="C168" s="464"/>
      <c r="D168" s="465"/>
      <c r="E168" s="466"/>
      <c r="F168" s="449"/>
      <c r="G168" s="449"/>
      <c r="H168" s="449"/>
      <c r="I168" s="449"/>
      <c r="J168" s="468"/>
      <c r="K168" s="468"/>
      <c r="L168" s="468"/>
      <c r="M168" s="468"/>
      <c r="N168" s="468"/>
      <c r="O168" s="468"/>
      <c r="P168" s="468"/>
      <c r="Q168" s="446"/>
      <c r="R168" s="446"/>
      <c r="S168" s="136">
        <v>8</v>
      </c>
      <c r="T168" s="137" t="s">
        <v>8</v>
      </c>
      <c r="U168" s="136">
        <v>0</v>
      </c>
      <c r="V168" s="446"/>
      <c r="W168" s="446"/>
      <c r="X168" s="468"/>
      <c r="Y168" s="468"/>
      <c r="Z168" s="468"/>
      <c r="AA168" s="468"/>
      <c r="AB168" s="468"/>
      <c r="AC168" s="468"/>
      <c r="AD168" s="468"/>
      <c r="AE168" s="449"/>
      <c r="AF168" s="449"/>
      <c r="AG168" s="449"/>
      <c r="AH168" s="449"/>
      <c r="AI168" s="449" t="e">
        <f>VLOOKUP(#REF!,U10対戦スケジュール!#REF!,3,TRUE)</f>
        <v>#REF!</v>
      </c>
      <c r="AJ168" s="449" t="e">
        <f>VLOOKUP(#REF!,U10対戦スケジュール!#REF!,3,TRUE)</f>
        <v>#REF!</v>
      </c>
      <c r="AK168" s="449" t="e">
        <f>VLOOKUP(#REF!,U10対戦スケジュール!#REF!,3,TRUE)</f>
        <v>#REF!</v>
      </c>
      <c r="AL168" s="449" t="e">
        <f>VLOOKUP(#REF!,U10対戦スケジュール!#REF!,3,TRUE)</f>
        <v>#REF!</v>
      </c>
      <c r="AM168" s="449" t="e">
        <f>VLOOKUP(#REF!,U10対戦スケジュール!#REF!,3,TRUE)</f>
        <v>#REF!</v>
      </c>
      <c r="AN168" s="449" t="e">
        <f>VLOOKUP(#REF!,U10対戦スケジュール!#REF!,3,TRUE)</f>
        <v>#REF!</v>
      </c>
      <c r="AO168" s="449" t="e">
        <f>VLOOKUP(#REF!,U10対戦スケジュール!#REF!,3,TRUE)</f>
        <v>#REF!</v>
      </c>
      <c r="AP168" s="449" t="e">
        <f>VLOOKUP(#REF!,U10対戦スケジュール!#REF!,3,TRUE)</f>
        <v>#REF!</v>
      </c>
      <c r="AU168" s="138"/>
      <c r="AV168" s="138"/>
      <c r="AW168" s="138"/>
      <c r="AX168" s="138"/>
      <c r="AY168" s="138"/>
    </row>
    <row r="169" spans="2:51" ht="20.100000000000001" customHeight="1" x14ac:dyDescent="0.4">
      <c r="B169" s="442" t="str">
        <f ca="1">DBCS(INDIRECT("U10対戦スケジュール!A"&amp;(ROW()-1)/2-AR$162))</f>
        <v>⑥</v>
      </c>
      <c r="C169" s="461">
        <f ca="1">VLOOKUP(B169,U10対戦スケジュール!A$53:F$56,2,TRUE)</f>
        <v>0.59030000000000005</v>
      </c>
      <c r="D169" s="462"/>
      <c r="E169" s="463"/>
      <c r="F169" s="449"/>
      <c r="G169" s="449"/>
      <c r="H169" s="449"/>
      <c r="I169" s="449"/>
      <c r="J169" s="467" t="str">
        <f ca="1">VLOOKUP(AR169,U10組合せ!$B$10:$I$17,3,TRUE)</f>
        <v>清原シザース</v>
      </c>
      <c r="K169" s="468"/>
      <c r="L169" s="468"/>
      <c r="M169" s="468"/>
      <c r="N169" s="468"/>
      <c r="O169" s="468"/>
      <c r="P169" s="468"/>
      <c r="Q169" s="446">
        <v>0</v>
      </c>
      <c r="R169" s="446"/>
      <c r="S169" s="136"/>
      <c r="T169" s="137" t="s">
        <v>8</v>
      </c>
      <c r="U169" s="136"/>
      <c r="V169" s="446">
        <v>3</v>
      </c>
      <c r="W169" s="446"/>
      <c r="X169" s="467" t="str">
        <f ca="1">VLOOKUP(AS169,U10組合せ!$B$10:$I$17,3,TRUE)</f>
        <v>ともぞうSC U10</v>
      </c>
      <c r="Y169" s="468"/>
      <c r="Z169" s="468"/>
      <c r="AA169" s="468"/>
      <c r="AB169" s="468"/>
      <c r="AC169" s="468"/>
      <c r="AD169" s="468"/>
      <c r="AE169" s="449"/>
      <c r="AF169" s="449"/>
      <c r="AG169" s="449"/>
      <c r="AH169" s="449"/>
      <c r="AI169" s="446" t="str">
        <f ca="1">DBCS(VLOOKUP(B169,U10対戦スケジュール!A$53:F$56,6,TRUE))</f>
        <v>３／５／５／３</v>
      </c>
      <c r="AJ169" s="449" t="e">
        <f>VLOOKUP(#REF!,U10対戦スケジュール!#REF!,3,TRUE)</f>
        <v>#REF!</v>
      </c>
      <c r="AK169" s="449" t="e">
        <f>VLOOKUP(#REF!,U10対戦スケジュール!#REF!,3,TRUE)</f>
        <v>#REF!</v>
      </c>
      <c r="AL169" s="449" t="e">
        <f>VLOOKUP(#REF!,U10対戦スケジュール!#REF!,3,TRUE)</f>
        <v>#REF!</v>
      </c>
      <c r="AM169" s="449" t="e">
        <f>VLOOKUP(#REF!,U10対戦スケジュール!#REF!,3,TRUE)</f>
        <v>#REF!</v>
      </c>
      <c r="AN169" s="449" t="e">
        <f>VLOOKUP(#REF!,U10対戦スケジュール!#REF!,3,TRUE)</f>
        <v>#REF!</v>
      </c>
      <c r="AO169" s="449" t="e">
        <f>VLOOKUP(#REF!,U10対戦スケジュール!#REF!,3,TRUE)</f>
        <v>#REF!</v>
      </c>
      <c r="AP169" s="449" t="e">
        <f>VLOOKUP(#REF!,U10対戦スケジュール!#REF!,3,TRUE)</f>
        <v>#REF!</v>
      </c>
      <c r="AR169" s="151">
        <f ca="1">VLOOKUP(B169,U10対戦スケジュール!A$53:F$56,3,TRUE)</f>
        <v>4</v>
      </c>
      <c r="AS169" s="151">
        <f ca="1">VLOOKUP(B169,U10対戦スケジュール!A$53:F$56,5)</f>
        <v>6</v>
      </c>
    </row>
    <row r="170" spans="2:51" ht="20.100000000000001" customHeight="1" x14ac:dyDescent="0.4">
      <c r="B170" s="442"/>
      <c r="C170" s="464"/>
      <c r="D170" s="465"/>
      <c r="E170" s="466"/>
      <c r="F170" s="449"/>
      <c r="G170" s="449"/>
      <c r="H170" s="449"/>
      <c r="I170" s="449"/>
      <c r="J170" s="468"/>
      <c r="K170" s="468"/>
      <c r="L170" s="468"/>
      <c r="M170" s="468"/>
      <c r="N170" s="468"/>
      <c r="O170" s="468"/>
      <c r="P170" s="468"/>
      <c r="Q170" s="446"/>
      <c r="R170" s="446"/>
      <c r="S170" s="136"/>
      <c r="T170" s="137" t="s">
        <v>8</v>
      </c>
      <c r="U170" s="136"/>
      <c r="V170" s="446"/>
      <c r="W170" s="446"/>
      <c r="X170" s="468"/>
      <c r="Y170" s="468"/>
      <c r="Z170" s="468"/>
      <c r="AA170" s="468"/>
      <c r="AB170" s="468"/>
      <c r="AC170" s="468"/>
      <c r="AD170" s="468"/>
      <c r="AE170" s="449"/>
      <c r="AF170" s="449"/>
      <c r="AG170" s="449"/>
      <c r="AH170" s="449"/>
      <c r="AI170" s="449" t="e">
        <f>VLOOKUP(#REF!,U10対戦スケジュール!#REF!,3,TRUE)</f>
        <v>#REF!</v>
      </c>
      <c r="AJ170" s="449" t="e">
        <f>VLOOKUP(#REF!,U10対戦スケジュール!#REF!,3,TRUE)</f>
        <v>#REF!</v>
      </c>
      <c r="AK170" s="449" t="e">
        <f>VLOOKUP(#REF!,U10対戦スケジュール!#REF!,3,TRUE)</f>
        <v>#REF!</v>
      </c>
      <c r="AL170" s="449" t="e">
        <f>VLOOKUP(#REF!,U10対戦スケジュール!#REF!,3,TRUE)</f>
        <v>#REF!</v>
      </c>
      <c r="AM170" s="449" t="e">
        <f>VLOOKUP(#REF!,U10対戦スケジュール!#REF!,3,TRUE)</f>
        <v>#REF!</v>
      </c>
      <c r="AN170" s="449" t="e">
        <f>VLOOKUP(#REF!,U10対戦スケジュール!#REF!,3,TRUE)</f>
        <v>#REF!</v>
      </c>
      <c r="AO170" s="449" t="e">
        <f>VLOOKUP(#REF!,U10対戦スケジュール!#REF!,3,TRUE)</f>
        <v>#REF!</v>
      </c>
      <c r="AP170" s="449" t="e">
        <f>VLOOKUP(#REF!,U10対戦スケジュール!#REF!,3,TRUE)</f>
        <v>#REF!</v>
      </c>
    </row>
    <row r="171" spans="2:51" ht="20.100000000000001" customHeight="1" x14ac:dyDescent="0.4">
      <c r="B171" s="442" t="str">
        <f ca="1">DBCS(INDIRECT("U10対戦スケジュール!A"&amp;(ROW()-1)/2-AR$162))</f>
        <v>⑦</v>
      </c>
      <c r="C171" s="461">
        <f ca="1">VLOOKUP(B171,U10対戦スケジュール!A$53:F$56,2,TRUE)</f>
        <v>0.62530000000000008</v>
      </c>
      <c r="D171" s="462"/>
      <c r="E171" s="463"/>
      <c r="F171" s="449"/>
      <c r="G171" s="449"/>
      <c r="H171" s="449"/>
      <c r="I171" s="449"/>
      <c r="J171" s="467" t="str">
        <f ca="1">VLOOKUP(AR171,U10組合せ!$B$10:$I$17,3,TRUE)</f>
        <v>清原シザース</v>
      </c>
      <c r="K171" s="468"/>
      <c r="L171" s="468"/>
      <c r="M171" s="468"/>
      <c r="N171" s="468"/>
      <c r="O171" s="468"/>
      <c r="P171" s="468"/>
      <c r="Q171" s="446">
        <v>0</v>
      </c>
      <c r="R171" s="446"/>
      <c r="S171" s="136"/>
      <c r="T171" s="137" t="s">
        <v>8</v>
      </c>
      <c r="U171" s="136"/>
      <c r="V171" s="446">
        <v>3</v>
      </c>
      <c r="W171" s="446"/>
      <c r="X171" s="467" t="str">
        <f ca="1">VLOOKUP(AS171,U10組合せ!$B$10:$I$17,3,TRUE)</f>
        <v>サウス宇都宮SC</v>
      </c>
      <c r="Y171" s="468"/>
      <c r="Z171" s="468"/>
      <c r="AA171" s="468"/>
      <c r="AB171" s="468"/>
      <c r="AC171" s="468"/>
      <c r="AD171" s="468"/>
      <c r="AE171" s="449"/>
      <c r="AF171" s="449"/>
      <c r="AG171" s="449"/>
      <c r="AH171" s="449"/>
      <c r="AI171" s="446" t="str">
        <f ca="1">DBCS(VLOOKUP(B171,U10対戦スケジュール!A$53:F$56,6,TRUE))</f>
        <v>６／３／３／６</v>
      </c>
      <c r="AJ171" s="449" t="e">
        <f>VLOOKUP(#REF!,U10対戦スケジュール!#REF!,3,TRUE)</f>
        <v>#REF!</v>
      </c>
      <c r="AK171" s="449" t="e">
        <f>VLOOKUP(#REF!,U10対戦スケジュール!#REF!,3,TRUE)</f>
        <v>#REF!</v>
      </c>
      <c r="AL171" s="449" t="e">
        <f>VLOOKUP(#REF!,U10対戦スケジュール!#REF!,3,TRUE)</f>
        <v>#REF!</v>
      </c>
      <c r="AM171" s="449" t="e">
        <f>VLOOKUP(#REF!,U10対戦スケジュール!#REF!,3,TRUE)</f>
        <v>#REF!</v>
      </c>
      <c r="AN171" s="449" t="e">
        <f>VLOOKUP(#REF!,U10対戦スケジュール!#REF!,3,TRUE)</f>
        <v>#REF!</v>
      </c>
      <c r="AO171" s="449" t="e">
        <f>VLOOKUP(#REF!,U10対戦スケジュール!#REF!,3,TRUE)</f>
        <v>#REF!</v>
      </c>
      <c r="AP171" s="449" t="e">
        <f>VLOOKUP(#REF!,U10対戦スケジュール!#REF!,3,TRUE)</f>
        <v>#REF!</v>
      </c>
      <c r="AR171" s="151">
        <f ca="1">VLOOKUP(B171,U10対戦スケジュール!A$53:F$56,3,TRUE)</f>
        <v>4</v>
      </c>
      <c r="AS171" s="151">
        <f ca="1">VLOOKUP(B171,U10対戦スケジュール!A$53:F$56,5)</f>
        <v>5</v>
      </c>
    </row>
    <row r="172" spans="2:51" ht="20.100000000000001" customHeight="1" x14ac:dyDescent="0.4">
      <c r="B172" s="442"/>
      <c r="C172" s="464"/>
      <c r="D172" s="465"/>
      <c r="E172" s="466"/>
      <c r="F172" s="449"/>
      <c r="G172" s="449"/>
      <c r="H172" s="449"/>
      <c r="I172" s="449"/>
      <c r="J172" s="468"/>
      <c r="K172" s="468"/>
      <c r="L172" s="468"/>
      <c r="M172" s="468"/>
      <c r="N172" s="468"/>
      <c r="O172" s="468"/>
      <c r="P172" s="468"/>
      <c r="Q172" s="446"/>
      <c r="R172" s="446"/>
      <c r="S172" s="136"/>
      <c r="T172" s="137" t="s">
        <v>8</v>
      </c>
      <c r="U172" s="136"/>
      <c r="V172" s="446"/>
      <c r="W172" s="446"/>
      <c r="X172" s="468"/>
      <c r="Y172" s="468"/>
      <c r="Z172" s="468"/>
      <c r="AA172" s="468"/>
      <c r="AB172" s="468"/>
      <c r="AC172" s="468"/>
      <c r="AD172" s="468"/>
      <c r="AE172" s="449"/>
      <c r="AF172" s="449"/>
      <c r="AG172" s="449"/>
      <c r="AH172" s="449"/>
      <c r="AI172" s="449" t="e">
        <f>VLOOKUP(#REF!,U10対戦スケジュール!#REF!,3,TRUE)</f>
        <v>#REF!</v>
      </c>
      <c r="AJ172" s="449" t="e">
        <f>VLOOKUP(#REF!,U10対戦スケジュール!#REF!,3,TRUE)</f>
        <v>#REF!</v>
      </c>
      <c r="AK172" s="449" t="e">
        <f>VLOOKUP(#REF!,U10対戦スケジュール!#REF!,3,TRUE)</f>
        <v>#REF!</v>
      </c>
      <c r="AL172" s="449" t="e">
        <f>VLOOKUP(#REF!,U10対戦スケジュール!#REF!,3,TRUE)</f>
        <v>#REF!</v>
      </c>
      <c r="AM172" s="449" t="e">
        <f>VLOOKUP(#REF!,U10対戦スケジュール!#REF!,3,TRUE)</f>
        <v>#REF!</v>
      </c>
      <c r="AN172" s="449" t="e">
        <f>VLOOKUP(#REF!,U10対戦スケジュール!#REF!,3,TRUE)</f>
        <v>#REF!</v>
      </c>
      <c r="AO172" s="449" t="e">
        <f>VLOOKUP(#REF!,U10対戦スケジュール!#REF!,3,TRUE)</f>
        <v>#REF!</v>
      </c>
      <c r="AP172" s="449" t="e">
        <f>VLOOKUP(#REF!,U10対戦スケジュール!#REF!,3,TRUE)</f>
        <v>#REF!</v>
      </c>
    </row>
    <row r="173" spans="2:51" ht="18" customHeight="1" x14ac:dyDescent="0.4">
      <c r="B173" s="442" t="str">
        <f ca="1">DBCS(INDIRECT("U10対戦スケジュール!A"&amp;(ROW()-1)/2-AR$162))</f>
        <v>⑧</v>
      </c>
      <c r="C173" s="461">
        <f ca="1">VLOOKUP(B173,U10対戦スケジュール!A$53:F$56,2,TRUE)</f>
        <v>0.65310000000000012</v>
      </c>
      <c r="D173" s="462"/>
      <c r="E173" s="463"/>
      <c r="F173" s="449"/>
      <c r="G173" s="449"/>
      <c r="H173" s="449"/>
      <c r="I173" s="449"/>
      <c r="J173" s="467" t="str">
        <f ca="1">VLOOKUP(AR173,U10組合せ!$B$10:$I$17,3,TRUE)</f>
        <v>ISOSC</v>
      </c>
      <c r="K173" s="468"/>
      <c r="L173" s="468"/>
      <c r="M173" s="468"/>
      <c r="N173" s="468"/>
      <c r="O173" s="468"/>
      <c r="P173" s="468"/>
      <c r="Q173" s="446">
        <f>IF(OR(S173="",S174=""),"",S173+S174)</f>
        <v>2</v>
      </c>
      <c r="R173" s="446"/>
      <c r="S173" s="136">
        <v>0</v>
      </c>
      <c r="T173" s="137" t="s">
        <v>8</v>
      </c>
      <c r="U173" s="136">
        <v>0</v>
      </c>
      <c r="V173" s="446">
        <f>IF(OR(U173="",U174=""),"",U173+U174)</f>
        <v>0</v>
      </c>
      <c r="W173" s="446"/>
      <c r="X173" s="467" t="str">
        <f ca="1">VLOOKUP(AS173,U10組合せ!$B$10:$I$17,3,TRUE)</f>
        <v>ともぞうSC U10</v>
      </c>
      <c r="Y173" s="468"/>
      <c r="Z173" s="468"/>
      <c r="AA173" s="468"/>
      <c r="AB173" s="468"/>
      <c r="AC173" s="468"/>
      <c r="AD173" s="468"/>
      <c r="AE173" s="449"/>
      <c r="AF173" s="449"/>
      <c r="AG173" s="449"/>
      <c r="AH173" s="449"/>
      <c r="AI173" s="446" t="str">
        <f ca="1">DBCS(VLOOKUP(B173,U10対戦スケジュール!A$53:F$56,6,TRUE))</f>
        <v>５／４／４／５</v>
      </c>
      <c r="AJ173" s="449" t="e">
        <f>VLOOKUP(#REF!,U10対戦スケジュール!#REF!,3,TRUE)</f>
        <v>#REF!</v>
      </c>
      <c r="AK173" s="449" t="e">
        <f>VLOOKUP(#REF!,U10対戦スケジュール!#REF!,3,TRUE)</f>
        <v>#REF!</v>
      </c>
      <c r="AL173" s="449" t="e">
        <f>VLOOKUP(#REF!,U10対戦スケジュール!#REF!,3,TRUE)</f>
        <v>#REF!</v>
      </c>
      <c r="AM173" s="449" t="e">
        <f>VLOOKUP(#REF!,U10対戦スケジュール!#REF!,3,TRUE)</f>
        <v>#REF!</v>
      </c>
      <c r="AN173" s="449" t="e">
        <f>VLOOKUP(#REF!,U10対戦スケジュール!#REF!,3,TRUE)</f>
        <v>#REF!</v>
      </c>
      <c r="AO173" s="449" t="e">
        <f>VLOOKUP(#REF!,U10対戦スケジュール!#REF!,3,TRUE)</f>
        <v>#REF!</v>
      </c>
      <c r="AP173" s="449" t="e">
        <f>VLOOKUP(#REF!,U10対戦スケジュール!#REF!,3,TRUE)</f>
        <v>#REF!</v>
      </c>
      <c r="AR173" s="151">
        <f ca="1">VLOOKUP(B173,U10対戦スケジュール!A$53:F$56,3,TRUE)</f>
        <v>3</v>
      </c>
      <c r="AS173" s="151">
        <f ca="1">VLOOKUP(B173,U10対戦スケジュール!A$53:F$56,5)</f>
        <v>6</v>
      </c>
    </row>
    <row r="174" spans="2:51" ht="18" customHeight="1" x14ac:dyDescent="0.4">
      <c r="B174" s="442"/>
      <c r="C174" s="464"/>
      <c r="D174" s="465"/>
      <c r="E174" s="466"/>
      <c r="F174" s="449"/>
      <c r="G174" s="449"/>
      <c r="H174" s="449"/>
      <c r="I174" s="449"/>
      <c r="J174" s="468"/>
      <c r="K174" s="468"/>
      <c r="L174" s="468"/>
      <c r="M174" s="468"/>
      <c r="N174" s="468"/>
      <c r="O174" s="468"/>
      <c r="P174" s="468"/>
      <c r="Q174" s="446"/>
      <c r="R174" s="446"/>
      <c r="S174" s="136">
        <v>2</v>
      </c>
      <c r="T174" s="137" t="s">
        <v>8</v>
      </c>
      <c r="U174" s="136">
        <v>0</v>
      </c>
      <c r="V174" s="446"/>
      <c r="W174" s="446"/>
      <c r="X174" s="468"/>
      <c r="Y174" s="468"/>
      <c r="Z174" s="468"/>
      <c r="AA174" s="468"/>
      <c r="AB174" s="468"/>
      <c r="AC174" s="468"/>
      <c r="AD174" s="468"/>
      <c r="AE174" s="449"/>
      <c r="AF174" s="449"/>
      <c r="AG174" s="449"/>
      <c r="AH174" s="449"/>
      <c r="AI174" s="449" t="e">
        <f>VLOOKUP(#REF!,U10対戦スケジュール!#REF!,3,TRUE)</f>
        <v>#REF!</v>
      </c>
      <c r="AJ174" s="449" t="e">
        <f>VLOOKUP(#REF!,U10対戦スケジュール!#REF!,3,TRUE)</f>
        <v>#REF!</v>
      </c>
      <c r="AK174" s="449" t="e">
        <f>VLOOKUP(#REF!,U10対戦スケジュール!#REF!,3,TRUE)</f>
        <v>#REF!</v>
      </c>
      <c r="AL174" s="449" t="e">
        <f>VLOOKUP(#REF!,U10対戦スケジュール!#REF!,3,TRUE)</f>
        <v>#REF!</v>
      </c>
      <c r="AM174" s="449" t="e">
        <f>VLOOKUP(#REF!,U10対戦スケジュール!#REF!,3,TRUE)</f>
        <v>#REF!</v>
      </c>
      <c r="AN174" s="449" t="e">
        <f>VLOOKUP(#REF!,U10対戦スケジュール!#REF!,3,TRUE)</f>
        <v>#REF!</v>
      </c>
      <c r="AO174" s="449" t="e">
        <f>VLOOKUP(#REF!,U10対戦スケジュール!#REF!,3,TRUE)</f>
        <v>#REF!</v>
      </c>
      <c r="AP174" s="449" t="e">
        <f>VLOOKUP(#REF!,U10対戦スケジュール!#REF!,3,TRUE)</f>
        <v>#REF!</v>
      </c>
    </row>
    <row r="175" spans="2:51" ht="18" customHeight="1" x14ac:dyDescent="0.4">
      <c r="B175" s="442"/>
      <c r="C175" s="451"/>
      <c r="D175" s="452"/>
      <c r="E175" s="453"/>
      <c r="F175" s="449"/>
      <c r="G175" s="449"/>
      <c r="H175" s="449"/>
      <c r="I175" s="449"/>
      <c r="J175" s="457"/>
      <c r="K175" s="458"/>
      <c r="L175" s="458"/>
      <c r="M175" s="458"/>
      <c r="N175" s="458"/>
      <c r="O175" s="458"/>
      <c r="P175" s="458"/>
      <c r="Q175" s="446"/>
      <c r="R175" s="446"/>
      <c r="S175" s="136"/>
      <c r="T175" s="137"/>
      <c r="U175" s="136"/>
      <c r="V175" s="446"/>
      <c r="W175" s="446"/>
      <c r="X175" s="457"/>
      <c r="Y175" s="458"/>
      <c r="Z175" s="458"/>
      <c r="AA175" s="458"/>
      <c r="AB175" s="458"/>
      <c r="AC175" s="458"/>
      <c r="AD175" s="458"/>
      <c r="AE175" s="449"/>
      <c r="AF175" s="449"/>
      <c r="AG175" s="449"/>
      <c r="AH175" s="449"/>
      <c r="AI175" s="459"/>
      <c r="AJ175" s="460"/>
      <c r="AK175" s="460"/>
      <c r="AL175" s="460"/>
      <c r="AM175" s="460"/>
      <c r="AN175" s="460"/>
      <c r="AO175" s="460"/>
      <c r="AP175" s="460"/>
    </row>
    <row r="176" spans="2:51" ht="18" customHeight="1" x14ac:dyDescent="0.4">
      <c r="B176" s="442"/>
      <c r="C176" s="454"/>
      <c r="D176" s="455"/>
      <c r="E176" s="456"/>
      <c r="F176" s="449"/>
      <c r="G176" s="449"/>
      <c r="H176" s="449"/>
      <c r="I176" s="449"/>
      <c r="J176" s="458"/>
      <c r="K176" s="458"/>
      <c r="L176" s="458"/>
      <c r="M176" s="458"/>
      <c r="N176" s="458"/>
      <c r="O176" s="458"/>
      <c r="P176" s="458"/>
      <c r="Q176" s="446"/>
      <c r="R176" s="446"/>
      <c r="S176" s="136"/>
      <c r="T176" s="137"/>
      <c r="U176" s="136"/>
      <c r="V176" s="446"/>
      <c r="W176" s="446"/>
      <c r="X176" s="458"/>
      <c r="Y176" s="458"/>
      <c r="Z176" s="458"/>
      <c r="AA176" s="458"/>
      <c r="AB176" s="458"/>
      <c r="AC176" s="458"/>
      <c r="AD176" s="458"/>
      <c r="AE176" s="449"/>
      <c r="AF176" s="449"/>
      <c r="AG176" s="449"/>
      <c r="AH176" s="449"/>
      <c r="AI176" s="460"/>
      <c r="AJ176" s="460"/>
      <c r="AK176" s="460"/>
      <c r="AL176" s="460"/>
      <c r="AM176" s="460"/>
      <c r="AN176" s="460"/>
      <c r="AO176" s="460"/>
      <c r="AP176" s="460"/>
    </row>
    <row r="177" spans="1:44" ht="18" customHeight="1" x14ac:dyDescent="0.4">
      <c r="B177" s="442"/>
      <c r="C177" s="451"/>
      <c r="D177" s="452"/>
      <c r="E177" s="453"/>
      <c r="F177" s="449"/>
      <c r="G177" s="449"/>
      <c r="H177" s="449"/>
      <c r="I177" s="449"/>
      <c r="J177" s="457"/>
      <c r="K177" s="458"/>
      <c r="L177" s="458"/>
      <c r="M177" s="458"/>
      <c r="N177" s="458"/>
      <c r="O177" s="458"/>
      <c r="P177" s="458"/>
      <c r="Q177" s="446"/>
      <c r="R177" s="446"/>
      <c r="S177" s="136"/>
      <c r="T177" s="137"/>
      <c r="U177" s="136"/>
      <c r="V177" s="446"/>
      <c r="W177" s="446"/>
      <c r="X177" s="457"/>
      <c r="Y177" s="458"/>
      <c r="Z177" s="458"/>
      <c r="AA177" s="458"/>
      <c r="AB177" s="458"/>
      <c r="AC177" s="458"/>
      <c r="AD177" s="458"/>
      <c r="AE177" s="449"/>
      <c r="AF177" s="449"/>
      <c r="AG177" s="449"/>
      <c r="AH177" s="449"/>
      <c r="AI177" s="459"/>
      <c r="AJ177" s="460"/>
      <c r="AK177" s="460"/>
      <c r="AL177" s="460"/>
      <c r="AM177" s="460"/>
      <c r="AN177" s="460"/>
      <c r="AO177" s="460"/>
      <c r="AP177" s="460"/>
    </row>
    <row r="178" spans="1:44" ht="18" customHeight="1" x14ac:dyDescent="0.4">
      <c r="B178" s="442"/>
      <c r="C178" s="454"/>
      <c r="D178" s="455"/>
      <c r="E178" s="456"/>
      <c r="F178" s="449"/>
      <c r="G178" s="449"/>
      <c r="H178" s="449"/>
      <c r="I178" s="449"/>
      <c r="J178" s="458"/>
      <c r="K178" s="458"/>
      <c r="L178" s="458"/>
      <c r="M178" s="458"/>
      <c r="N178" s="458"/>
      <c r="O178" s="458"/>
      <c r="P178" s="458"/>
      <c r="Q178" s="446"/>
      <c r="R178" s="446"/>
      <c r="S178" s="136"/>
      <c r="T178" s="137"/>
      <c r="U178" s="136"/>
      <c r="V178" s="446"/>
      <c r="W178" s="446"/>
      <c r="X178" s="458"/>
      <c r="Y178" s="458"/>
      <c r="Z178" s="458"/>
      <c r="AA178" s="458"/>
      <c r="AB178" s="458"/>
      <c r="AC178" s="458"/>
      <c r="AD178" s="458"/>
      <c r="AE178" s="449"/>
      <c r="AF178" s="449"/>
      <c r="AG178" s="449"/>
      <c r="AH178" s="449"/>
      <c r="AI178" s="460"/>
      <c r="AJ178" s="460"/>
      <c r="AK178" s="460"/>
      <c r="AL178" s="460"/>
      <c r="AM178" s="460"/>
      <c r="AN178" s="460"/>
      <c r="AO178" s="460"/>
      <c r="AP178" s="460"/>
    </row>
    <row r="179" spans="1:44" ht="18" customHeight="1" x14ac:dyDescent="0.4">
      <c r="B179" s="442"/>
      <c r="C179" s="450"/>
      <c r="D179" s="450"/>
      <c r="E179" s="450"/>
      <c r="F179" s="449"/>
      <c r="G179" s="449"/>
      <c r="H179" s="449"/>
      <c r="I179" s="449"/>
      <c r="J179" s="447"/>
      <c r="K179" s="448"/>
      <c r="L179" s="448"/>
      <c r="M179" s="448"/>
      <c r="N179" s="448"/>
      <c r="O179" s="448"/>
      <c r="P179" s="448"/>
      <c r="Q179" s="446"/>
      <c r="R179" s="446"/>
      <c r="S179" s="136"/>
      <c r="T179" s="137"/>
      <c r="U179" s="136"/>
      <c r="V179" s="446"/>
      <c r="W179" s="446"/>
      <c r="X179" s="447"/>
      <c r="Y179" s="448"/>
      <c r="Z179" s="448"/>
      <c r="AA179" s="448"/>
      <c r="AB179" s="448"/>
      <c r="AC179" s="448"/>
      <c r="AD179" s="448"/>
      <c r="AE179" s="449"/>
      <c r="AF179" s="449"/>
      <c r="AG179" s="449"/>
      <c r="AH179" s="449"/>
      <c r="AI179" s="446"/>
      <c r="AJ179" s="449"/>
      <c r="AK179" s="449"/>
      <c r="AL179" s="449"/>
      <c r="AM179" s="449"/>
      <c r="AN179" s="449"/>
      <c r="AO179" s="449"/>
      <c r="AP179" s="449"/>
    </row>
    <row r="180" spans="1:44" ht="18" customHeight="1" x14ac:dyDescent="0.4">
      <c r="B180" s="442"/>
      <c r="C180" s="450"/>
      <c r="D180" s="450"/>
      <c r="E180" s="450"/>
      <c r="F180" s="449"/>
      <c r="G180" s="449"/>
      <c r="H180" s="449"/>
      <c r="I180" s="449"/>
      <c r="J180" s="448"/>
      <c r="K180" s="448"/>
      <c r="L180" s="448"/>
      <c r="M180" s="448"/>
      <c r="N180" s="448"/>
      <c r="O180" s="448"/>
      <c r="P180" s="448"/>
      <c r="Q180" s="446"/>
      <c r="R180" s="446"/>
      <c r="S180" s="136"/>
      <c r="T180" s="137"/>
      <c r="U180" s="136"/>
      <c r="V180" s="446"/>
      <c r="W180" s="446"/>
      <c r="X180" s="448"/>
      <c r="Y180" s="448"/>
      <c r="Z180" s="448"/>
      <c r="AA180" s="448"/>
      <c r="AB180" s="448"/>
      <c r="AC180" s="448"/>
      <c r="AD180" s="448"/>
      <c r="AE180" s="449"/>
      <c r="AF180" s="449"/>
      <c r="AG180" s="449"/>
      <c r="AH180" s="449"/>
      <c r="AI180" s="449"/>
      <c r="AJ180" s="449"/>
      <c r="AK180" s="449"/>
      <c r="AL180" s="449"/>
      <c r="AM180" s="449"/>
      <c r="AN180" s="449"/>
      <c r="AO180" s="449"/>
      <c r="AP180" s="449"/>
    </row>
    <row r="181" spans="1:44" ht="15.75" customHeight="1" x14ac:dyDescent="0.4">
      <c r="A181" s="138"/>
      <c r="B181" s="139"/>
      <c r="C181" s="140"/>
      <c r="D181" s="140"/>
      <c r="E181" s="140"/>
      <c r="F181" s="139"/>
      <c r="G181" s="139"/>
      <c r="H181" s="139"/>
      <c r="I181" s="139"/>
      <c r="J181" s="139"/>
      <c r="K181" s="141"/>
      <c r="L181" s="141"/>
      <c r="M181" s="142"/>
      <c r="N181" s="143"/>
      <c r="O181" s="142"/>
      <c r="P181" s="141"/>
      <c r="Q181" s="141"/>
      <c r="R181" s="139"/>
      <c r="S181" s="139"/>
      <c r="T181" s="139"/>
      <c r="U181" s="139"/>
      <c r="V181" s="139"/>
      <c r="W181" s="144"/>
      <c r="X181" s="144"/>
      <c r="Y181" s="144"/>
      <c r="Z181" s="144"/>
      <c r="AA181" s="144"/>
      <c r="AB181" s="144"/>
      <c r="AC181" s="138"/>
    </row>
    <row r="182" spans="1:44" ht="20.25" customHeight="1" x14ac:dyDescent="0.4">
      <c r="D182" s="442" t="s">
        <v>9</v>
      </c>
      <c r="E182" s="442"/>
      <c r="F182" s="442"/>
      <c r="G182" s="442"/>
      <c r="H182" s="442"/>
      <c r="I182" s="442"/>
      <c r="J182" s="442" t="s">
        <v>5</v>
      </c>
      <c r="K182" s="442"/>
      <c r="L182" s="442"/>
      <c r="M182" s="442"/>
      <c r="N182" s="442"/>
      <c r="O182" s="442"/>
      <c r="P182" s="442"/>
      <c r="Q182" s="442"/>
      <c r="R182" s="443" t="s">
        <v>10</v>
      </c>
      <c r="S182" s="443"/>
      <c r="T182" s="443"/>
      <c r="U182" s="443"/>
      <c r="V182" s="443"/>
      <c r="W182" s="443"/>
      <c r="X182" s="443"/>
      <c r="Y182" s="443"/>
      <c r="Z182" s="443"/>
      <c r="AA182" s="444" t="s">
        <v>11</v>
      </c>
      <c r="AB182" s="444"/>
      <c r="AC182" s="444"/>
      <c r="AD182" s="444" t="s">
        <v>12</v>
      </c>
      <c r="AE182" s="444"/>
      <c r="AF182" s="444"/>
      <c r="AG182" s="444"/>
      <c r="AH182" s="444"/>
      <c r="AI182" s="444"/>
      <c r="AJ182" s="444"/>
      <c r="AK182" s="444"/>
      <c r="AL182" s="444"/>
      <c r="AM182" s="444"/>
    </row>
    <row r="183" spans="1:44" ht="30" customHeight="1" x14ac:dyDescent="0.4">
      <c r="D183" s="442" t="s">
        <v>13</v>
      </c>
      <c r="E183" s="442"/>
      <c r="F183" s="442"/>
      <c r="G183" s="442"/>
      <c r="H183" s="442"/>
      <c r="I183" s="442"/>
      <c r="J183" s="442"/>
      <c r="K183" s="442"/>
      <c r="L183" s="442"/>
      <c r="M183" s="442"/>
      <c r="N183" s="442"/>
      <c r="O183" s="442"/>
      <c r="P183" s="442"/>
      <c r="Q183" s="442"/>
      <c r="R183" s="443"/>
      <c r="S183" s="443"/>
      <c r="T183" s="443"/>
      <c r="U183" s="443"/>
      <c r="V183" s="443"/>
      <c r="W183" s="443"/>
      <c r="X183" s="443"/>
      <c r="Y183" s="443"/>
      <c r="Z183" s="443"/>
      <c r="AA183" s="445"/>
      <c r="AB183" s="445"/>
      <c r="AC183" s="445"/>
      <c r="AD183" s="441"/>
      <c r="AE183" s="441"/>
      <c r="AF183" s="441"/>
      <c r="AG183" s="441"/>
      <c r="AH183" s="441"/>
      <c r="AI183" s="441"/>
      <c r="AJ183" s="441"/>
      <c r="AK183" s="441"/>
      <c r="AL183" s="441"/>
      <c r="AM183" s="441"/>
    </row>
    <row r="184" spans="1:44" ht="30" customHeight="1" x14ac:dyDescent="0.4">
      <c r="D184" s="442" t="s">
        <v>13</v>
      </c>
      <c r="E184" s="442"/>
      <c r="F184" s="442"/>
      <c r="G184" s="442"/>
      <c r="H184" s="442"/>
      <c r="I184" s="442"/>
      <c r="J184" s="442"/>
      <c r="K184" s="442"/>
      <c r="L184" s="442"/>
      <c r="M184" s="442"/>
      <c r="N184" s="442"/>
      <c r="O184" s="442"/>
      <c r="P184" s="442"/>
      <c r="Q184" s="442"/>
      <c r="R184" s="443"/>
      <c r="S184" s="443"/>
      <c r="T184" s="443"/>
      <c r="U184" s="443"/>
      <c r="V184" s="443"/>
      <c r="W184" s="443"/>
      <c r="X184" s="443"/>
      <c r="Y184" s="443"/>
      <c r="Z184" s="443"/>
      <c r="AA184" s="444"/>
      <c r="AB184" s="444"/>
      <c r="AC184" s="444"/>
      <c r="AD184" s="441"/>
      <c r="AE184" s="441"/>
      <c r="AF184" s="441"/>
      <c r="AG184" s="441"/>
      <c r="AH184" s="441"/>
      <c r="AI184" s="441"/>
      <c r="AJ184" s="441"/>
      <c r="AK184" s="441"/>
      <c r="AL184" s="441"/>
      <c r="AM184" s="441"/>
    </row>
    <row r="185" spans="1:44" ht="30" customHeight="1" x14ac:dyDescent="0.4">
      <c r="D185" s="442" t="s">
        <v>13</v>
      </c>
      <c r="E185" s="442"/>
      <c r="F185" s="442"/>
      <c r="G185" s="442"/>
      <c r="H185" s="442"/>
      <c r="I185" s="442"/>
      <c r="J185" s="442"/>
      <c r="K185" s="442"/>
      <c r="L185" s="442"/>
      <c r="M185" s="442"/>
      <c r="N185" s="442"/>
      <c r="O185" s="442"/>
      <c r="P185" s="442"/>
      <c r="Q185" s="442"/>
      <c r="R185" s="443"/>
      <c r="S185" s="443"/>
      <c r="T185" s="443"/>
      <c r="U185" s="443"/>
      <c r="V185" s="443"/>
      <c r="W185" s="443"/>
      <c r="X185" s="443"/>
      <c r="Y185" s="443"/>
      <c r="Z185" s="443"/>
      <c r="AA185" s="444"/>
      <c r="AB185" s="444"/>
      <c r="AC185" s="444"/>
      <c r="AD185" s="441"/>
      <c r="AE185" s="441"/>
      <c r="AF185" s="441"/>
      <c r="AG185" s="441"/>
      <c r="AH185" s="441"/>
      <c r="AI185" s="441"/>
      <c r="AJ185" s="441"/>
      <c r="AK185" s="441"/>
      <c r="AL185" s="441"/>
      <c r="AM185" s="441"/>
    </row>
    <row r="186" spans="1:44" ht="9" customHeight="1" x14ac:dyDescent="0.4"/>
    <row r="187" spans="1:44" ht="14.25" customHeight="1" x14ac:dyDescent="0.4">
      <c r="A187" s="274"/>
      <c r="B187" s="489" t="str">
        <f>U10組合せ!$B$1</f>
        <v>ＪＦＡ　Ｕ-１０サッカーリーグ2021（in栃木） 宇都宮地区リーグ戦（前期）</v>
      </c>
      <c r="C187" s="489"/>
      <c r="D187" s="489"/>
      <c r="E187" s="489"/>
      <c r="F187" s="489"/>
      <c r="G187" s="489"/>
      <c r="H187" s="489"/>
      <c r="I187" s="489"/>
      <c r="J187" s="489"/>
      <c r="K187" s="489"/>
      <c r="L187" s="489"/>
      <c r="M187" s="489"/>
      <c r="N187" s="489"/>
      <c r="O187" s="489"/>
      <c r="P187" s="489"/>
      <c r="Q187" s="489"/>
      <c r="R187" s="489"/>
      <c r="S187" s="489"/>
      <c r="T187" s="489"/>
      <c r="U187" s="489"/>
      <c r="V187" s="489"/>
      <c r="W187" s="489"/>
      <c r="X187" s="489"/>
      <c r="Y187" s="489"/>
      <c r="Z187" s="489"/>
      <c r="AA187" s="489"/>
      <c r="AB187" s="489"/>
      <c r="AC187" s="490" t="str">
        <f>"【"&amp;(U10組合せ!$D$3)&amp;"】"</f>
        <v>【Ａ ブロック】</v>
      </c>
      <c r="AD187" s="490"/>
      <c r="AE187" s="490"/>
      <c r="AF187" s="490"/>
      <c r="AG187" s="490"/>
      <c r="AH187" s="490"/>
      <c r="AI187" s="490"/>
      <c r="AJ187" s="490"/>
      <c r="AK187" s="490" t="str">
        <f>"第"&amp;(U10組合せ!$D$37)</f>
        <v>第４節</v>
      </c>
      <c r="AL187" s="490"/>
      <c r="AM187" s="490"/>
      <c r="AN187" s="490"/>
      <c r="AO187" s="490"/>
      <c r="AP187" s="491" t="s">
        <v>195</v>
      </c>
      <c r="AQ187" s="492"/>
    </row>
    <row r="188" spans="1:44" ht="22.5" customHeight="1" x14ac:dyDescent="0.4">
      <c r="A188" s="274"/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  <c r="O188" s="489"/>
      <c r="P188" s="489"/>
      <c r="Q188" s="489"/>
      <c r="R188" s="489"/>
      <c r="S188" s="489"/>
      <c r="T188" s="489"/>
      <c r="U188" s="489"/>
      <c r="V188" s="489"/>
      <c r="W188" s="489"/>
      <c r="X188" s="489"/>
      <c r="Y188" s="489"/>
      <c r="Z188" s="489"/>
      <c r="AA188" s="489"/>
      <c r="AB188" s="489"/>
      <c r="AC188" s="490"/>
      <c r="AD188" s="490"/>
      <c r="AE188" s="490"/>
      <c r="AF188" s="490"/>
      <c r="AG188" s="490"/>
      <c r="AH188" s="490"/>
      <c r="AI188" s="490"/>
      <c r="AJ188" s="490"/>
      <c r="AK188" s="490"/>
      <c r="AL188" s="490"/>
      <c r="AM188" s="490"/>
      <c r="AN188" s="490"/>
      <c r="AO188" s="490"/>
      <c r="AP188" s="492"/>
      <c r="AQ188" s="492"/>
    </row>
    <row r="189" spans="1:44" ht="27.75" customHeight="1" x14ac:dyDescent="0.4">
      <c r="C189" s="477" t="s">
        <v>1</v>
      </c>
      <c r="D189" s="477"/>
      <c r="E189" s="477"/>
      <c r="F189" s="477"/>
      <c r="G189" s="478" t="str">
        <f>U10対戦スケジュール!C61</f>
        <v>石井 1 AM</v>
      </c>
      <c r="H189" s="479"/>
      <c r="I189" s="479"/>
      <c r="J189" s="479"/>
      <c r="K189" s="479"/>
      <c r="L189" s="479"/>
      <c r="M189" s="479"/>
      <c r="N189" s="479"/>
      <c r="O189" s="480"/>
      <c r="P189" s="477" t="s">
        <v>0</v>
      </c>
      <c r="Q189" s="477"/>
      <c r="R189" s="477"/>
      <c r="S189" s="477"/>
      <c r="T189" s="481" t="str">
        <f ca="1">J200</f>
        <v>unionscU10</v>
      </c>
      <c r="U189" s="481"/>
      <c r="V189" s="481"/>
      <c r="W189" s="481"/>
      <c r="X189" s="481"/>
      <c r="Y189" s="481"/>
      <c r="Z189" s="481"/>
      <c r="AA189" s="481"/>
      <c r="AB189" s="481"/>
      <c r="AC189" s="477" t="s">
        <v>2</v>
      </c>
      <c r="AD189" s="477"/>
      <c r="AE189" s="477"/>
      <c r="AF189" s="477"/>
      <c r="AG189" s="482">
        <f>U10組合せ!B37</f>
        <v>44353</v>
      </c>
      <c r="AH189" s="483"/>
      <c r="AI189" s="483"/>
      <c r="AJ189" s="483"/>
      <c r="AK189" s="483"/>
      <c r="AL189" s="483"/>
      <c r="AM189" s="484" t="str">
        <f>"（"&amp;TEXT(AG189,"aaa")&amp;"）"</f>
        <v>（日）</v>
      </c>
      <c r="AN189" s="484"/>
      <c r="AO189" s="485"/>
    </row>
    <row r="190" spans="1:44" ht="15" customHeight="1" x14ac:dyDescent="0.4">
      <c r="C190" s="134" t="str">
        <f>U10組合せ!E38</f>
        <v>A1256</v>
      </c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3"/>
      <c r="X190" s="133"/>
      <c r="Y190" s="133"/>
      <c r="Z190" s="133"/>
      <c r="AA190" s="133"/>
      <c r="AB190" s="133"/>
      <c r="AC190" s="133"/>
    </row>
    <row r="191" spans="1:44" s="155" customFormat="1" ht="29.25" customHeight="1" x14ac:dyDescent="0.4">
      <c r="A191" s="134"/>
      <c r="B191" s="134"/>
      <c r="C191" s="481">
        <v>1</v>
      </c>
      <c r="D191" s="481"/>
      <c r="E191" s="488" t="str">
        <f>VLOOKUP(C191,U10組合せ!$B$10:$I$17,3,TRUE)</f>
        <v>富士見SSS</v>
      </c>
      <c r="F191" s="488"/>
      <c r="G191" s="488"/>
      <c r="H191" s="488"/>
      <c r="I191" s="488"/>
      <c r="J191" s="488"/>
      <c r="K191" s="488"/>
      <c r="L191" s="488"/>
      <c r="M191" s="488"/>
      <c r="N191" s="488"/>
      <c r="O191" s="148"/>
      <c r="P191" s="148"/>
      <c r="Q191" s="486">
        <v>4</v>
      </c>
      <c r="R191" s="486"/>
      <c r="S191" s="487" t="str">
        <f>VLOOKUP(Q191,U10組合せ!$B$10:$I$17,3,TRUE)</f>
        <v>清原シザース</v>
      </c>
      <c r="T191" s="487"/>
      <c r="U191" s="487"/>
      <c r="V191" s="487"/>
      <c r="W191" s="487"/>
      <c r="X191" s="487"/>
      <c r="Y191" s="487"/>
      <c r="Z191" s="487"/>
      <c r="AA191" s="487"/>
      <c r="AB191" s="487"/>
      <c r="AC191" s="131"/>
      <c r="AD191" s="132"/>
      <c r="AE191" s="486">
        <v>7</v>
      </c>
      <c r="AF191" s="486"/>
      <c r="AG191" s="487" t="str">
        <f>VLOOKUP(AE191,U10組合せ!$B$10:$I$17,3,TRUE)</f>
        <v>上河内JSC</v>
      </c>
      <c r="AH191" s="487"/>
      <c r="AI191" s="487"/>
      <c r="AJ191" s="487"/>
      <c r="AK191" s="487"/>
      <c r="AL191" s="487"/>
      <c r="AM191" s="487"/>
      <c r="AN191" s="487"/>
      <c r="AO191" s="487"/>
      <c r="AP191" s="487"/>
      <c r="AR191" s="155">
        <f>198/2</f>
        <v>99</v>
      </c>
    </row>
    <row r="192" spans="1:44" s="155" customFormat="1" ht="29.25" customHeight="1" x14ac:dyDescent="0.4">
      <c r="C192" s="481">
        <v>2</v>
      </c>
      <c r="D192" s="481"/>
      <c r="E192" s="488" t="str">
        <f>VLOOKUP(C192,U10組合せ!$B$10:$I$17,3,TRUE)</f>
        <v>unionscU10</v>
      </c>
      <c r="F192" s="488"/>
      <c r="G192" s="488"/>
      <c r="H192" s="488"/>
      <c r="I192" s="488"/>
      <c r="J192" s="488"/>
      <c r="K192" s="488"/>
      <c r="L192" s="488"/>
      <c r="M192" s="488"/>
      <c r="N192" s="488"/>
      <c r="O192" s="148"/>
      <c r="P192" s="148"/>
      <c r="Q192" s="481">
        <v>5</v>
      </c>
      <c r="R192" s="481"/>
      <c r="S192" s="488" t="str">
        <f>VLOOKUP(Q192,U10組合せ!$B$10:$I$17,3,TRUE)</f>
        <v>サウス宇都宮SC</v>
      </c>
      <c r="T192" s="488"/>
      <c r="U192" s="488"/>
      <c r="V192" s="488"/>
      <c r="W192" s="488"/>
      <c r="X192" s="488"/>
      <c r="Y192" s="488"/>
      <c r="Z192" s="488"/>
      <c r="AA192" s="488"/>
      <c r="AB192" s="488"/>
      <c r="AC192" s="131"/>
      <c r="AD192" s="132"/>
      <c r="AE192" s="486">
        <v>8</v>
      </c>
      <c r="AF192" s="486"/>
      <c r="AG192" s="487" t="str">
        <f>VLOOKUP(AE192,U10組合せ!$B$10:$I$17,3,TRUE)</f>
        <v>FC グランディール</v>
      </c>
      <c r="AH192" s="487"/>
      <c r="AI192" s="487"/>
      <c r="AJ192" s="487"/>
      <c r="AK192" s="487"/>
      <c r="AL192" s="487"/>
      <c r="AM192" s="487"/>
      <c r="AN192" s="487"/>
      <c r="AO192" s="487"/>
      <c r="AP192" s="487"/>
      <c r="AR192" s="155">
        <v>63</v>
      </c>
    </row>
    <row r="193" spans="2:45" s="155" customFormat="1" ht="29.25" customHeight="1" x14ac:dyDescent="0.4">
      <c r="C193" s="486">
        <v>3</v>
      </c>
      <c r="D193" s="486"/>
      <c r="E193" s="487" t="str">
        <f>VLOOKUP(C193,U10組合せ!$B$10:$I$17,3,TRUE)</f>
        <v>ISOSC</v>
      </c>
      <c r="F193" s="487"/>
      <c r="G193" s="487"/>
      <c r="H193" s="487"/>
      <c r="I193" s="487"/>
      <c r="J193" s="487"/>
      <c r="K193" s="487"/>
      <c r="L193" s="487"/>
      <c r="M193" s="487"/>
      <c r="N193" s="487"/>
      <c r="O193" s="148"/>
      <c r="P193" s="148"/>
      <c r="Q193" s="481">
        <v>6</v>
      </c>
      <c r="R193" s="481"/>
      <c r="S193" s="488" t="str">
        <f>VLOOKUP(Q193,U10組合せ!$B$10:$I$17,3,TRUE)</f>
        <v>ともぞうSC U10</v>
      </c>
      <c r="T193" s="488"/>
      <c r="U193" s="488"/>
      <c r="V193" s="488"/>
      <c r="W193" s="488"/>
      <c r="X193" s="488"/>
      <c r="Y193" s="488"/>
      <c r="Z193" s="488"/>
      <c r="AA193" s="488"/>
      <c r="AB193" s="488"/>
      <c r="AC193" s="131"/>
      <c r="AD193" s="132"/>
      <c r="AE193" s="486">
        <v>9</v>
      </c>
      <c r="AF193" s="486"/>
      <c r="AG193" s="487"/>
      <c r="AH193" s="487"/>
      <c r="AI193" s="487"/>
      <c r="AJ193" s="487"/>
      <c r="AK193" s="487"/>
      <c r="AL193" s="487"/>
      <c r="AM193" s="487"/>
      <c r="AN193" s="487"/>
      <c r="AO193" s="487"/>
      <c r="AP193" s="487"/>
      <c r="AR193" s="155">
        <f>AR191-AR192</f>
        <v>36</v>
      </c>
    </row>
    <row r="194" spans="2:45" ht="8.25" customHeight="1" x14ac:dyDescent="0.4">
      <c r="O194" s="138"/>
      <c r="P194" s="138"/>
      <c r="AC194" s="133"/>
    </row>
    <row r="195" spans="2:45" ht="8.25" customHeight="1" x14ac:dyDescent="0.4">
      <c r="C195" s="149"/>
      <c r="D195" s="150"/>
      <c r="E195" s="150"/>
      <c r="F195" s="150"/>
      <c r="G195" s="150"/>
      <c r="H195" s="150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50"/>
      <c r="U195" s="138"/>
      <c r="V195" s="150"/>
      <c r="W195" s="138"/>
      <c r="X195" s="150"/>
      <c r="Y195" s="138"/>
      <c r="Z195" s="150"/>
      <c r="AA195" s="138"/>
      <c r="AB195" s="150"/>
      <c r="AC195" s="150"/>
    </row>
    <row r="196" spans="2:45" ht="21" customHeight="1" x14ac:dyDescent="0.4">
      <c r="B196" s="134" t="s">
        <v>181</v>
      </c>
    </row>
    <row r="197" spans="2:45" ht="20.25" customHeight="1" x14ac:dyDescent="0.4">
      <c r="B197" s="135"/>
      <c r="C197" s="469" t="s">
        <v>3</v>
      </c>
      <c r="D197" s="469"/>
      <c r="E197" s="469"/>
      <c r="F197" s="470" t="s">
        <v>4</v>
      </c>
      <c r="G197" s="470"/>
      <c r="H197" s="470"/>
      <c r="I197" s="470"/>
      <c r="J197" s="469" t="s">
        <v>5</v>
      </c>
      <c r="K197" s="471"/>
      <c r="L197" s="471"/>
      <c r="M197" s="471"/>
      <c r="N197" s="471"/>
      <c r="O197" s="471"/>
      <c r="P197" s="471"/>
      <c r="Q197" s="469" t="s">
        <v>40</v>
      </c>
      <c r="R197" s="469"/>
      <c r="S197" s="469"/>
      <c r="T197" s="469"/>
      <c r="U197" s="469"/>
      <c r="V197" s="469"/>
      <c r="W197" s="469"/>
      <c r="X197" s="469" t="s">
        <v>5</v>
      </c>
      <c r="Y197" s="471"/>
      <c r="Z197" s="471"/>
      <c r="AA197" s="471"/>
      <c r="AB197" s="471"/>
      <c r="AC197" s="471"/>
      <c r="AD197" s="471"/>
      <c r="AE197" s="470" t="s">
        <v>4</v>
      </c>
      <c r="AF197" s="470"/>
      <c r="AG197" s="470"/>
      <c r="AH197" s="470"/>
      <c r="AI197" s="469" t="s">
        <v>7</v>
      </c>
      <c r="AJ197" s="469"/>
      <c r="AK197" s="471"/>
      <c r="AL197" s="471"/>
      <c r="AM197" s="471"/>
      <c r="AN197" s="471"/>
      <c r="AO197" s="471"/>
      <c r="AP197" s="471"/>
    </row>
    <row r="198" spans="2:45" ht="20.100000000000001" customHeight="1" x14ac:dyDescent="0.4">
      <c r="B198" s="442" t="str">
        <f ca="1">DBCS(INDIRECT("U10対戦スケジュール!A"&amp;(ROW())/2-36))</f>
        <v>①</v>
      </c>
      <c r="C198" s="461">
        <f ca="1">VLOOKUP(B198,U10対戦スケジュール!A$63:F$64,2,TRUE)</f>
        <v>0.375</v>
      </c>
      <c r="D198" s="462"/>
      <c r="E198" s="463"/>
      <c r="F198" s="449"/>
      <c r="G198" s="449"/>
      <c r="H198" s="449"/>
      <c r="I198" s="449"/>
      <c r="J198" s="467" t="str">
        <f ca="1">VLOOKUP(AR198,U10組合せ!$B$10:$I$17,3,TRUE)</f>
        <v>富士見SSS</v>
      </c>
      <c r="K198" s="468"/>
      <c r="L198" s="468"/>
      <c r="M198" s="468"/>
      <c r="N198" s="468"/>
      <c r="O198" s="468"/>
      <c r="P198" s="468"/>
      <c r="Q198" s="446" t="str">
        <f>IF(OR(S198="",S199=""),"",S198+S199)</f>
        <v/>
      </c>
      <c r="R198" s="446"/>
      <c r="S198" s="136"/>
      <c r="T198" s="137" t="s">
        <v>8</v>
      </c>
      <c r="U198" s="136"/>
      <c r="V198" s="446" t="str">
        <f>IF(OR(U198="",U199=""),"",U198+U199)</f>
        <v/>
      </c>
      <c r="W198" s="446"/>
      <c r="X198" s="467" t="str">
        <f ca="1">VLOOKUP(AS198,U10組合せ!$B$10:$I$17,3,TRUE)</f>
        <v>ともぞうSC U10</v>
      </c>
      <c r="Y198" s="468"/>
      <c r="Z198" s="468"/>
      <c r="AA198" s="468"/>
      <c r="AB198" s="468"/>
      <c r="AC198" s="468"/>
      <c r="AD198" s="468"/>
      <c r="AE198" s="449"/>
      <c r="AF198" s="449"/>
      <c r="AG198" s="449"/>
      <c r="AH198" s="449"/>
      <c r="AI198" s="446" t="str">
        <f ca="1">DBCS(VLOOKUP(B198,U10対戦スケジュール!A$63:F$64,6,TRUE))</f>
        <v>２／５／５／２</v>
      </c>
      <c r="AJ198" s="449" t="e">
        <f>VLOOKUP(#REF!,U10対戦スケジュール!#REF!,3,TRUE)</f>
        <v>#REF!</v>
      </c>
      <c r="AK198" s="449" t="e">
        <f>VLOOKUP(#REF!,U10対戦スケジュール!#REF!,3,TRUE)</f>
        <v>#REF!</v>
      </c>
      <c r="AL198" s="449" t="e">
        <f>VLOOKUP(#REF!,U10対戦スケジュール!#REF!,3,TRUE)</f>
        <v>#REF!</v>
      </c>
      <c r="AM198" s="449" t="e">
        <f>VLOOKUP(#REF!,U10対戦スケジュール!#REF!,3,TRUE)</f>
        <v>#REF!</v>
      </c>
      <c r="AN198" s="449" t="e">
        <f>VLOOKUP(#REF!,U10対戦スケジュール!#REF!,3,TRUE)</f>
        <v>#REF!</v>
      </c>
      <c r="AO198" s="449" t="e">
        <f>VLOOKUP(#REF!,U10対戦スケジュール!#REF!,3,TRUE)</f>
        <v>#REF!</v>
      </c>
      <c r="AP198" s="449" t="e">
        <f>VLOOKUP(#REF!,U10対戦スケジュール!#REF!,3,TRUE)</f>
        <v>#REF!</v>
      </c>
      <c r="AR198" s="151">
        <f ca="1">VLOOKUP(B198,U10対戦スケジュール!A$63:F$64,3,TRUE)</f>
        <v>1</v>
      </c>
      <c r="AS198" s="151">
        <f ca="1">VLOOKUP(B198,U10対戦スケジュール!A$63:F$64,5)</f>
        <v>6</v>
      </c>
    </row>
    <row r="199" spans="2:45" ht="20.100000000000001" customHeight="1" x14ac:dyDescent="0.4">
      <c r="B199" s="442"/>
      <c r="C199" s="464"/>
      <c r="D199" s="465"/>
      <c r="E199" s="466"/>
      <c r="F199" s="449"/>
      <c r="G199" s="449"/>
      <c r="H199" s="449"/>
      <c r="I199" s="449"/>
      <c r="J199" s="468"/>
      <c r="K199" s="468"/>
      <c r="L199" s="468"/>
      <c r="M199" s="468"/>
      <c r="N199" s="468"/>
      <c r="O199" s="468"/>
      <c r="P199" s="468"/>
      <c r="Q199" s="446"/>
      <c r="R199" s="446"/>
      <c r="S199" s="136"/>
      <c r="T199" s="137" t="s">
        <v>8</v>
      </c>
      <c r="U199" s="136"/>
      <c r="V199" s="446"/>
      <c r="W199" s="446"/>
      <c r="X199" s="468"/>
      <c r="Y199" s="468"/>
      <c r="Z199" s="468"/>
      <c r="AA199" s="468"/>
      <c r="AB199" s="468"/>
      <c r="AC199" s="468"/>
      <c r="AD199" s="468"/>
      <c r="AE199" s="449"/>
      <c r="AF199" s="449"/>
      <c r="AG199" s="449"/>
      <c r="AH199" s="449"/>
      <c r="AI199" s="449" t="e">
        <f>VLOOKUP(#REF!,U10対戦スケジュール!#REF!,3,TRUE)</f>
        <v>#REF!</v>
      </c>
      <c r="AJ199" s="449" t="e">
        <f>VLOOKUP(#REF!,U10対戦スケジュール!#REF!,3,TRUE)</f>
        <v>#REF!</v>
      </c>
      <c r="AK199" s="449" t="e">
        <f>VLOOKUP(#REF!,U10対戦スケジュール!#REF!,3,TRUE)</f>
        <v>#REF!</v>
      </c>
      <c r="AL199" s="449" t="e">
        <f>VLOOKUP(#REF!,U10対戦スケジュール!#REF!,3,TRUE)</f>
        <v>#REF!</v>
      </c>
      <c r="AM199" s="449" t="e">
        <f>VLOOKUP(#REF!,U10対戦スケジュール!#REF!,3,TRUE)</f>
        <v>#REF!</v>
      </c>
      <c r="AN199" s="449" t="e">
        <f>VLOOKUP(#REF!,U10対戦スケジュール!#REF!,3,TRUE)</f>
        <v>#REF!</v>
      </c>
      <c r="AO199" s="449" t="e">
        <f>VLOOKUP(#REF!,U10対戦スケジュール!#REF!,3,TRUE)</f>
        <v>#REF!</v>
      </c>
      <c r="AP199" s="449" t="e">
        <f>VLOOKUP(#REF!,U10対戦スケジュール!#REF!,3,TRUE)</f>
        <v>#REF!</v>
      </c>
      <c r="AR199" s="151"/>
      <c r="AS199" s="151"/>
    </row>
    <row r="200" spans="2:45" ht="20.100000000000001" customHeight="1" x14ac:dyDescent="0.4">
      <c r="B200" s="442" t="str">
        <f ca="1">DBCS(INDIRECT("U10対戦スケジュール!A"&amp;(ROW())/2-36))</f>
        <v>②</v>
      </c>
      <c r="C200" s="461">
        <f ca="1">VLOOKUP(B200,U10対戦スケジュール!A$63:F$64,2,TRUE)</f>
        <v>0.40279999999999999</v>
      </c>
      <c r="D200" s="462"/>
      <c r="E200" s="463"/>
      <c r="F200" s="449"/>
      <c r="G200" s="449"/>
      <c r="H200" s="449"/>
      <c r="I200" s="449"/>
      <c r="J200" s="467" t="str">
        <f ca="1">VLOOKUP(AR200,U10組合せ!$B$10:$I$17,3,TRUE)</f>
        <v>unionscU10</v>
      </c>
      <c r="K200" s="468"/>
      <c r="L200" s="468"/>
      <c r="M200" s="468"/>
      <c r="N200" s="468"/>
      <c r="O200" s="468"/>
      <c r="P200" s="468"/>
      <c r="Q200" s="446" t="str">
        <f>IF(OR(S200="",S201=""),"",S200+S201)</f>
        <v/>
      </c>
      <c r="R200" s="446"/>
      <c r="S200" s="136"/>
      <c r="T200" s="137" t="s">
        <v>8</v>
      </c>
      <c r="U200" s="136"/>
      <c r="V200" s="446" t="str">
        <f>IF(OR(U200="",U201=""),"",U200+U201)</f>
        <v/>
      </c>
      <c r="W200" s="446"/>
      <c r="X200" s="467" t="str">
        <f ca="1">VLOOKUP(AS200,U10組合せ!$B$10:$I$17,3,TRUE)</f>
        <v>サウス宇都宮SC</v>
      </c>
      <c r="Y200" s="468"/>
      <c r="Z200" s="468"/>
      <c r="AA200" s="468"/>
      <c r="AB200" s="468"/>
      <c r="AC200" s="468"/>
      <c r="AD200" s="468"/>
      <c r="AE200" s="449"/>
      <c r="AF200" s="449"/>
      <c r="AG200" s="449"/>
      <c r="AH200" s="449"/>
      <c r="AI200" s="446" t="str">
        <f ca="1">DBCS(VLOOKUP(B200,U10対戦スケジュール!A$63:F$64,6,TRUE))</f>
        <v>１／６／６／１</v>
      </c>
      <c r="AJ200" s="449" t="e">
        <f>VLOOKUP(#REF!,U10対戦スケジュール!#REF!,3,TRUE)</f>
        <v>#REF!</v>
      </c>
      <c r="AK200" s="449" t="e">
        <f>VLOOKUP(#REF!,U10対戦スケジュール!#REF!,3,TRUE)</f>
        <v>#REF!</v>
      </c>
      <c r="AL200" s="449" t="e">
        <f>VLOOKUP(#REF!,U10対戦スケジュール!#REF!,3,TRUE)</f>
        <v>#REF!</v>
      </c>
      <c r="AM200" s="449" t="e">
        <f>VLOOKUP(#REF!,U10対戦スケジュール!#REF!,3,TRUE)</f>
        <v>#REF!</v>
      </c>
      <c r="AN200" s="449" t="e">
        <f>VLOOKUP(#REF!,U10対戦スケジュール!#REF!,3,TRUE)</f>
        <v>#REF!</v>
      </c>
      <c r="AO200" s="449" t="e">
        <f>VLOOKUP(#REF!,U10対戦スケジュール!#REF!,3,TRUE)</f>
        <v>#REF!</v>
      </c>
      <c r="AP200" s="449" t="e">
        <f>VLOOKUP(#REF!,U10対戦スケジュール!#REF!,3,TRUE)</f>
        <v>#REF!</v>
      </c>
      <c r="AR200" s="151">
        <f ca="1">VLOOKUP(B200,U10対戦スケジュール!A$63:F$64,3,TRUE)</f>
        <v>2</v>
      </c>
      <c r="AS200" s="151">
        <f ca="1">VLOOKUP(B200,U10対戦スケジュール!A$63:F$64,5)</f>
        <v>5</v>
      </c>
    </row>
    <row r="201" spans="2:45" ht="20.100000000000001" customHeight="1" x14ac:dyDescent="0.4">
      <c r="B201" s="442"/>
      <c r="C201" s="464"/>
      <c r="D201" s="465"/>
      <c r="E201" s="466"/>
      <c r="F201" s="449"/>
      <c r="G201" s="449"/>
      <c r="H201" s="449"/>
      <c r="I201" s="449"/>
      <c r="J201" s="468"/>
      <c r="K201" s="468"/>
      <c r="L201" s="468"/>
      <c r="M201" s="468"/>
      <c r="N201" s="468"/>
      <c r="O201" s="468"/>
      <c r="P201" s="468"/>
      <c r="Q201" s="446"/>
      <c r="R201" s="446"/>
      <c r="S201" s="136"/>
      <c r="T201" s="137" t="s">
        <v>8</v>
      </c>
      <c r="U201" s="136"/>
      <c r="V201" s="446"/>
      <c r="W201" s="446"/>
      <c r="X201" s="468"/>
      <c r="Y201" s="468"/>
      <c r="Z201" s="468"/>
      <c r="AA201" s="468"/>
      <c r="AB201" s="468"/>
      <c r="AC201" s="468"/>
      <c r="AD201" s="468"/>
      <c r="AE201" s="449"/>
      <c r="AF201" s="449"/>
      <c r="AG201" s="449"/>
      <c r="AH201" s="449"/>
      <c r="AI201" s="449" t="e">
        <f>VLOOKUP(#REF!,U10対戦スケジュール!#REF!,3,TRUE)</f>
        <v>#REF!</v>
      </c>
      <c r="AJ201" s="449" t="e">
        <f>VLOOKUP(#REF!,U10対戦スケジュール!#REF!,3,TRUE)</f>
        <v>#REF!</v>
      </c>
      <c r="AK201" s="449" t="e">
        <f>VLOOKUP(#REF!,U10対戦スケジュール!#REF!,3,TRUE)</f>
        <v>#REF!</v>
      </c>
      <c r="AL201" s="449" t="e">
        <f>VLOOKUP(#REF!,U10対戦スケジュール!#REF!,3,TRUE)</f>
        <v>#REF!</v>
      </c>
      <c r="AM201" s="449" t="e">
        <f>VLOOKUP(#REF!,U10対戦スケジュール!#REF!,3,TRUE)</f>
        <v>#REF!</v>
      </c>
      <c r="AN201" s="449" t="e">
        <f>VLOOKUP(#REF!,U10対戦スケジュール!#REF!,3,TRUE)</f>
        <v>#REF!</v>
      </c>
      <c r="AO201" s="449" t="e">
        <f>VLOOKUP(#REF!,U10対戦スケジュール!#REF!,3,TRUE)</f>
        <v>#REF!</v>
      </c>
      <c r="AP201" s="449" t="e">
        <f>VLOOKUP(#REF!,U10対戦スケジュール!#REF!,3,TRUE)</f>
        <v>#REF!</v>
      </c>
    </row>
    <row r="202" spans="2:45" ht="20.100000000000001" customHeight="1" x14ac:dyDescent="0.4">
      <c r="B202" s="442" t="str">
        <f ca="1">DBCS(INDIRECT("U10対戦スケジュール!A"&amp;(ROW())/2-36))</f>
        <v/>
      </c>
      <c r="C202" s="461"/>
      <c r="D202" s="462"/>
      <c r="E202" s="463"/>
      <c r="F202" s="449"/>
      <c r="G202" s="449"/>
      <c r="H202" s="449"/>
      <c r="I202" s="449"/>
      <c r="J202" s="467"/>
      <c r="K202" s="468"/>
      <c r="L202" s="468"/>
      <c r="M202" s="468"/>
      <c r="N202" s="468"/>
      <c r="O202" s="468"/>
      <c r="P202" s="468"/>
      <c r="Q202" s="446"/>
      <c r="R202" s="446"/>
      <c r="S202" s="136"/>
      <c r="T202" s="137"/>
      <c r="U202" s="136"/>
      <c r="V202" s="446"/>
      <c r="W202" s="446"/>
      <c r="X202" s="467"/>
      <c r="Y202" s="468"/>
      <c r="Z202" s="468"/>
      <c r="AA202" s="468"/>
      <c r="AB202" s="468"/>
      <c r="AC202" s="468"/>
      <c r="AD202" s="468"/>
      <c r="AE202" s="449"/>
      <c r="AF202" s="449"/>
      <c r="AG202" s="449"/>
      <c r="AH202" s="449"/>
      <c r="AI202" s="446"/>
      <c r="AJ202" s="449"/>
      <c r="AK202" s="449"/>
      <c r="AL202" s="449"/>
      <c r="AM202" s="449"/>
      <c r="AN202" s="449"/>
      <c r="AO202" s="449"/>
      <c r="AP202" s="449"/>
      <c r="AR202" s="151"/>
      <c r="AS202" s="151"/>
    </row>
    <row r="203" spans="2:45" ht="20.100000000000001" customHeight="1" x14ac:dyDescent="0.4">
      <c r="B203" s="442"/>
      <c r="C203" s="464"/>
      <c r="D203" s="465"/>
      <c r="E203" s="466"/>
      <c r="F203" s="449"/>
      <c r="G203" s="449"/>
      <c r="H203" s="449"/>
      <c r="I203" s="449"/>
      <c r="J203" s="468"/>
      <c r="K203" s="468"/>
      <c r="L203" s="468"/>
      <c r="M203" s="468"/>
      <c r="N203" s="468"/>
      <c r="O203" s="468"/>
      <c r="P203" s="468"/>
      <c r="Q203" s="446"/>
      <c r="R203" s="446"/>
      <c r="S203" s="136"/>
      <c r="T203" s="137"/>
      <c r="U203" s="136"/>
      <c r="V203" s="446"/>
      <c r="W203" s="446"/>
      <c r="X203" s="468"/>
      <c r="Y203" s="468"/>
      <c r="Z203" s="468"/>
      <c r="AA203" s="468"/>
      <c r="AB203" s="468"/>
      <c r="AC203" s="468"/>
      <c r="AD203" s="468"/>
      <c r="AE203" s="449"/>
      <c r="AF203" s="449"/>
      <c r="AG203" s="449"/>
      <c r="AH203" s="449"/>
      <c r="AI203" s="449"/>
      <c r="AJ203" s="449"/>
      <c r="AK203" s="449"/>
      <c r="AL203" s="449"/>
      <c r="AM203" s="449"/>
      <c r="AN203" s="449"/>
      <c r="AO203" s="449"/>
      <c r="AP203" s="449"/>
      <c r="AR203" s="151"/>
      <c r="AS203" s="151"/>
    </row>
    <row r="204" spans="2:45" ht="20.100000000000001" customHeight="1" x14ac:dyDescent="0.4">
      <c r="B204" s="442" t="str">
        <f ca="1">DBCS(INDIRECT("U10対戦スケジュール!A"&amp;(ROW())/2+2))</f>
        <v/>
      </c>
      <c r="C204" s="461"/>
      <c r="D204" s="462"/>
      <c r="E204" s="463"/>
      <c r="F204" s="449"/>
      <c r="G204" s="449"/>
      <c r="H204" s="449"/>
      <c r="I204" s="449"/>
      <c r="J204" s="467"/>
      <c r="K204" s="468"/>
      <c r="L204" s="468"/>
      <c r="M204" s="468"/>
      <c r="N204" s="468"/>
      <c r="O204" s="468"/>
      <c r="P204" s="468"/>
      <c r="Q204" s="446"/>
      <c r="R204" s="446"/>
      <c r="S204" s="136"/>
      <c r="T204" s="137"/>
      <c r="U204" s="136"/>
      <c r="V204" s="446"/>
      <c r="W204" s="446"/>
      <c r="X204" s="467"/>
      <c r="Y204" s="468"/>
      <c r="Z204" s="468"/>
      <c r="AA204" s="468"/>
      <c r="AB204" s="468"/>
      <c r="AC204" s="468"/>
      <c r="AD204" s="468"/>
      <c r="AE204" s="449"/>
      <c r="AF204" s="449"/>
      <c r="AG204" s="449"/>
      <c r="AH204" s="449"/>
      <c r="AI204" s="446"/>
      <c r="AJ204" s="449"/>
      <c r="AK204" s="449"/>
      <c r="AL204" s="449"/>
      <c r="AM204" s="449"/>
      <c r="AN204" s="449"/>
      <c r="AO204" s="449"/>
      <c r="AP204" s="449"/>
      <c r="AR204" s="151"/>
      <c r="AS204" s="151"/>
    </row>
    <row r="205" spans="2:45" ht="20.100000000000001" customHeight="1" x14ac:dyDescent="0.4">
      <c r="B205" s="442"/>
      <c r="C205" s="464"/>
      <c r="D205" s="465"/>
      <c r="E205" s="466"/>
      <c r="F205" s="449"/>
      <c r="G205" s="449"/>
      <c r="H205" s="449"/>
      <c r="I205" s="449"/>
      <c r="J205" s="468"/>
      <c r="K205" s="468"/>
      <c r="L205" s="468"/>
      <c r="M205" s="468"/>
      <c r="N205" s="468"/>
      <c r="O205" s="468"/>
      <c r="P205" s="468"/>
      <c r="Q205" s="446"/>
      <c r="R205" s="446"/>
      <c r="S205" s="136"/>
      <c r="T205" s="137"/>
      <c r="U205" s="136"/>
      <c r="V205" s="446"/>
      <c r="W205" s="446"/>
      <c r="X205" s="468"/>
      <c r="Y205" s="468"/>
      <c r="Z205" s="468"/>
      <c r="AA205" s="468"/>
      <c r="AB205" s="468"/>
      <c r="AC205" s="468"/>
      <c r="AD205" s="468"/>
      <c r="AE205" s="449"/>
      <c r="AF205" s="449"/>
      <c r="AG205" s="449"/>
      <c r="AH205" s="449"/>
      <c r="AI205" s="449"/>
      <c r="AJ205" s="449"/>
      <c r="AK205" s="449"/>
      <c r="AL205" s="449"/>
      <c r="AM205" s="449"/>
      <c r="AN205" s="449"/>
      <c r="AO205" s="449"/>
      <c r="AP205" s="449"/>
      <c r="AR205" s="151"/>
      <c r="AS205" s="151"/>
    </row>
    <row r="206" spans="2:45" ht="20.100000000000001" customHeight="1" x14ac:dyDescent="0.4">
      <c r="B206" s="442" t="str">
        <f ca="1">DBCS(INDIRECT("U10対戦スケジュール!A"&amp;(ROW())/2+2))</f>
        <v/>
      </c>
      <c r="C206" s="450"/>
      <c r="D206" s="450"/>
      <c r="E206" s="450"/>
      <c r="F206" s="449"/>
      <c r="G206" s="449"/>
      <c r="H206" s="449"/>
      <c r="I206" s="449"/>
      <c r="J206" s="447"/>
      <c r="K206" s="448"/>
      <c r="L206" s="448"/>
      <c r="M206" s="448"/>
      <c r="N206" s="448"/>
      <c r="O206" s="448"/>
      <c r="P206" s="448"/>
      <c r="Q206" s="446"/>
      <c r="R206" s="446"/>
      <c r="S206" s="136"/>
      <c r="T206" s="137"/>
      <c r="U206" s="136"/>
      <c r="V206" s="446"/>
      <c r="W206" s="446"/>
      <c r="X206" s="447"/>
      <c r="Y206" s="448"/>
      <c r="Z206" s="448"/>
      <c r="AA206" s="448"/>
      <c r="AB206" s="448"/>
      <c r="AC206" s="448"/>
      <c r="AD206" s="448"/>
      <c r="AE206" s="449"/>
      <c r="AF206" s="449"/>
      <c r="AG206" s="449"/>
      <c r="AH206" s="449"/>
      <c r="AI206" s="446"/>
      <c r="AJ206" s="449"/>
      <c r="AK206" s="449"/>
      <c r="AL206" s="449"/>
      <c r="AM206" s="449"/>
      <c r="AN206" s="449"/>
      <c r="AO206" s="449"/>
      <c r="AP206" s="449"/>
      <c r="AR206" s="151"/>
      <c r="AS206" s="151"/>
    </row>
    <row r="207" spans="2:45" ht="20.100000000000001" customHeight="1" x14ac:dyDescent="0.4">
      <c r="B207" s="442"/>
      <c r="C207" s="450"/>
      <c r="D207" s="450"/>
      <c r="E207" s="450"/>
      <c r="F207" s="449"/>
      <c r="G207" s="449"/>
      <c r="H207" s="449"/>
      <c r="I207" s="449"/>
      <c r="J207" s="448"/>
      <c r="K207" s="448"/>
      <c r="L207" s="448"/>
      <c r="M207" s="448"/>
      <c r="N207" s="448"/>
      <c r="O207" s="448"/>
      <c r="P207" s="448"/>
      <c r="Q207" s="446"/>
      <c r="R207" s="446"/>
      <c r="S207" s="136"/>
      <c r="T207" s="137"/>
      <c r="U207" s="136"/>
      <c r="V207" s="446"/>
      <c r="W207" s="446"/>
      <c r="X207" s="448"/>
      <c r="Y207" s="448"/>
      <c r="Z207" s="448"/>
      <c r="AA207" s="448"/>
      <c r="AB207" s="448"/>
      <c r="AC207" s="448"/>
      <c r="AD207" s="448"/>
      <c r="AE207" s="449"/>
      <c r="AF207" s="449"/>
      <c r="AG207" s="449"/>
      <c r="AH207" s="449"/>
      <c r="AI207" s="449"/>
      <c r="AJ207" s="449"/>
      <c r="AK207" s="449"/>
      <c r="AL207" s="449"/>
      <c r="AM207" s="449"/>
      <c r="AN207" s="449"/>
      <c r="AO207" s="449"/>
      <c r="AP207" s="449"/>
      <c r="AR207" s="151"/>
      <c r="AS207" s="151"/>
    </row>
    <row r="208" spans="2:45" ht="20.100000000000001" customHeight="1" x14ac:dyDescent="0.4">
      <c r="B208" s="442"/>
      <c r="C208" s="450"/>
      <c r="D208" s="450"/>
      <c r="E208" s="450"/>
      <c r="F208" s="449"/>
      <c r="G208" s="449"/>
      <c r="H208" s="449"/>
      <c r="I208" s="449"/>
      <c r="J208" s="447"/>
      <c r="K208" s="448"/>
      <c r="L208" s="448"/>
      <c r="M208" s="448"/>
      <c r="N208" s="448"/>
      <c r="O208" s="448"/>
      <c r="P208" s="448"/>
      <c r="Q208" s="446"/>
      <c r="R208" s="446"/>
      <c r="S208" s="136"/>
      <c r="T208" s="137"/>
      <c r="U208" s="136"/>
      <c r="V208" s="446"/>
      <c r="W208" s="446"/>
      <c r="X208" s="447"/>
      <c r="Y208" s="448"/>
      <c r="Z208" s="448"/>
      <c r="AA208" s="448"/>
      <c r="AB208" s="448"/>
      <c r="AC208" s="448"/>
      <c r="AD208" s="448"/>
      <c r="AE208" s="449"/>
      <c r="AF208" s="449"/>
      <c r="AG208" s="449"/>
      <c r="AH208" s="449"/>
      <c r="AI208" s="446"/>
      <c r="AJ208" s="449"/>
      <c r="AK208" s="449"/>
      <c r="AL208" s="449"/>
      <c r="AM208" s="449"/>
      <c r="AN208" s="449"/>
      <c r="AO208" s="449"/>
      <c r="AP208" s="449"/>
      <c r="AR208" s="151"/>
      <c r="AS208" s="151"/>
    </row>
    <row r="209" spans="1:45" ht="20.100000000000001" customHeight="1" x14ac:dyDescent="0.4">
      <c r="B209" s="442"/>
      <c r="C209" s="450"/>
      <c r="D209" s="450"/>
      <c r="E209" s="450"/>
      <c r="F209" s="449"/>
      <c r="G209" s="449"/>
      <c r="H209" s="449"/>
      <c r="I209" s="449"/>
      <c r="J209" s="448"/>
      <c r="K209" s="448"/>
      <c r="L209" s="448"/>
      <c r="M209" s="448"/>
      <c r="N209" s="448"/>
      <c r="O209" s="448"/>
      <c r="P209" s="448"/>
      <c r="Q209" s="446"/>
      <c r="R209" s="446"/>
      <c r="S209" s="136"/>
      <c r="T209" s="137"/>
      <c r="U209" s="136"/>
      <c r="V209" s="446"/>
      <c r="W209" s="446"/>
      <c r="X209" s="448"/>
      <c r="Y209" s="448"/>
      <c r="Z209" s="448"/>
      <c r="AA209" s="448"/>
      <c r="AB209" s="448"/>
      <c r="AC209" s="448"/>
      <c r="AD209" s="448"/>
      <c r="AE209" s="449"/>
      <c r="AF209" s="449"/>
      <c r="AG209" s="449"/>
      <c r="AH209" s="449"/>
      <c r="AI209" s="449"/>
      <c r="AJ209" s="449"/>
      <c r="AK209" s="449"/>
      <c r="AL209" s="449"/>
      <c r="AM209" s="449"/>
      <c r="AN209" s="449"/>
      <c r="AO209" s="449"/>
      <c r="AP209" s="449"/>
      <c r="AR209" s="151"/>
      <c r="AS209" s="151"/>
    </row>
    <row r="210" spans="1:45" ht="20.100000000000001" customHeight="1" x14ac:dyDescent="0.4">
      <c r="B210" s="442"/>
      <c r="C210" s="450"/>
      <c r="D210" s="450"/>
      <c r="E210" s="450"/>
      <c r="F210" s="449"/>
      <c r="G210" s="449"/>
      <c r="H210" s="449"/>
      <c r="I210" s="449"/>
      <c r="J210" s="447"/>
      <c r="K210" s="448"/>
      <c r="L210" s="448"/>
      <c r="M210" s="448"/>
      <c r="N210" s="448"/>
      <c r="O210" s="448"/>
      <c r="P210" s="448"/>
      <c r="Q210" s="446"/>
      <c r="R210" s="446"/>
      <c r="S210" s="136"/>
      <c r="T210" s="137"/>
      <c r="U210" s="136"/>
      <c r="V210" s="446"/>
      <c r="W210" s="446"/>
      <c r="X210" s="447"/>
      <c r="Y210" s="448"/>
      <c r="Z210" s="448"/>
      <c r="AA210" s="448"/>
      <c r="AB210" s="448"/>
      <c r="AC210" s="448"/>
      <c r="AD210" s="448"/>
      <c r="AE210" s="449"/>
      <c r="AF210" s="449"/>
      <c r="AG210" s="449"/>
      <c r="AH210" s="449"/>
      <c r="AI210" s="446"/>
      <c r="AJ210" s="449"/>
      <c r="AK210" s="449"/>
      <c r="AL210" s="449"/>
      <c r="AM210" s="449"/>
      <c r="AN210" s="449"/>
      <c r="AO210" s="449"/>
      <c r="AP210" s="449"/>
      <c r="AR210" s="151"/>
      <c r="AS210" s="151"/>
    </row>
    <row r="211" spans="1:45" ht="20.100000000000001" customHeight="1" x14ac:dyDescent="0.4">
      <c r="B211" s="442"/>
      <c r="C211" s="450"/>
      <c r="D211" s="450"/>
      <c r="E211" s="450"/>
      <c r="F211" s="449"/>
      <c r="G211" s="449"/>
      <c r="H211" s="449"/>
      <c r="I211" s="449"/>
      <c r="J211" s="448"/>
      <c r="K211" s="448"/>
      <c r="L211" s="448"/>
      <c r="M211" s="448"/>
      <c r="N211" s="448"/>
      <c r="O211" s="448"/>
      <c r="P211" s="448"/>
      <c r="Q211" s="446"/>
      <c r="R211" s="446"/>
      <c r="S211" s="136"/>
      <c r="T211" s="137"/>
      <c r="U211" s="136"/>
      <c r="V211" s="446"/>
      <c r="W211" s="446"/>
      <c r="X211" s="448"/>
      <c r="Y211" s="448"/>
      <c r="Z211" s="448"/>
      <c r="AA211" s="448"/>
      <c r="AB211" s="448"/>
      <c r="AC211" s="448"/>
      <c r="AD211" s="448"/>
      <c r="AE211" s="449"/>
      <c r="AF211" s="449"/>
      <c r="AG211" s="449"/>
      <c r="AH211" s="449"/>
      <c r="AI211" s="449"/>
      <c r="AJ211" s="449"/>
      <c r="AK211" s="449"/>
      <c r="AL211" s="449"/>
      <c r="AM211" s="449"/>
      <c r="AN211" s="449"/>
      <c r="AO211" s="449"/>
      <c r="AP211" s="449"/>
    </row>
    <row r="212" spans="1:45" ht="15.75" customHeight="1" x14ac:dyDescent="0.4">
      <c r="A212" s="138"/>
      <c r="B212" s="139"/>
      <c r="C212" s="140"/>
      <c r="D212" s="140"/>
      <c r="E212" s="140"/>
      <c r="F212" s="139"/>
      <c r="G212" s="139"/>
      <c r="H212" s="139"/>
      <c r="I212" s="139"/>
      <c r="J212" s="139"/>
      <c r="K212" s="141"/>
      <c r="L212" s="141"/>
      <c r="M212" s="142"/>
      <c r="N212" s="143"/>
      <c r="O212" s="142"/>
      <c r="P212" s="141"/>
      <c r="Q212" s="141"/>
      <c r="R212" s="139"/>
      <c r="S212" s="139"/>
      <c r="T212" s="139"/>
      <c r="U212" s="139"/>
      <c r="V212" s="139"/>
      <c r="W212" s="144"/>
      <c r="X212" s="144"/>
      <c r="Y212" s="144"/>
      <c r="Z212" s="144"/>
      <c r="AA212" s="144"/>
      <c r="AB212" s="144"/>
      <c r="AC212" s="138"/>
    </row>
    <row r="213" spans="1:45" ht="20.25" customHeight="1" x14ac:dyDescent="0.4">
      <c r="D213" s="442" t="s">
        <v>9</v>
      </c>
      <c r="E213" s="442"/>
      <c r="F213" s="442"/>
      <c r="G213" s="442"/>
      <c r="H213" s="442"/>
      <c r="I213" s="442"/>
      <c r="J213" s="442" t="s">
        <v>5</v>
      </c>
      <c r="K213" s="442"/>
      <c r="L213" s="442"/>
      <c r="M213" s="442"/>
      <c r="N213" s="442"/>
      <c r="O213" s="442"/>
      <c r="P213" s="442"/>
      <c r="Q213" s="442"/>
      <c r="R213" s="443" t="s">
        <v>10</v>
      </c>
      <c r="S213" s="443"/>
      <c r="T213" s="443"/>
      <c r="U213" s="443"/>
      <c r="V213" s="443"/>
      <c r="W213" s="443"/>
      <c r="X213" s="443"/>
      <c r="Y213" s="443"/>
      <c r="Z213" s="443"/>
      <c r="AA213" s="444" t="s">
        <v>11</v>
      </c>
      <c r="AB213" s="444"/>
      <c r="AC213" s="444"/>
      <c r="AD213" s="444" t="s">
        <v>12</v>
      </c>
      <c r="AE213" s="444"/>
      <c r="AF213" s="444"/>
      <c r="AG213" s="444"/>
      <c r="AH213" s="444"/>
      <c r="AI213" s="444"/>
      <c r="AJ213" s="444"/>
      <c r="AK213" s="444"/>
      <c r="AL213" s="444"/>
      <c r="AM213" s="444"/>
    </row>
    <row r="214" spans="1:45" ht="30" customHeight="1" x14ac:dyDescent="0.4">
      <c r="D214" s="442" t="s">
        <v>13</v>
      </c>
      <c r="E214" s="442"/>
      <c r="F214" s="442"/>
      <c r="G214" s="442"/>
      <c r="H214" s="442"/>
      <c r="I214" s="442"/>
      <c r="J214" s="442"/>
      <c r="K214" s="442"/>
      <c r="L214" s="442"/>
      <c r="M214" s="442"/>
      <c r="N214" s="442"/>
      <c r="O214" s="442"/>
      <c r="P214" s="442"/>
      <c r="Q214" s="442"/>
      <c r="R214" s="443"/>
      <c r="S214" s="443"/>
      <c r="T214" s="443"/>
      <c r="U214" s="443"/>
      <c r="V214" s="443"/>
      <c r="W214" s="443"/>
      <c r="X214" s="443"/>
      <c r="Y214" s="443"/>
      <c r="Z214" s="443"/>
      <c r="AA214" s="445"/>
      <c r="AB214" s="445"/>
      <c r="AC214" s="445"/>
      <c r="AD214" s="441"/>
      <c r="AE214" s="441"/>
      <c r="AF214" s="441"/>
      <c r="AG214" s="441"/>
      <c r="AH214" s="441"/>
      <c r="AI214" s="441"/>
      <c r="AJ214" s="441"/>
      <c r="AK214" s="441"/>
      <c r="AL214" s="441"/>
      <c r="AM214" s="441"/>
    </row>
    <row r="215" spans="1:45" ht="30" customHeight="1" x14ac:dyDescent="0.4">
      <c r="D215" s="442" t="s">
        <v>13</v>
      </c>
      <c r="E215" s="442"/>
      <c r="F215" s="442"/>
      <c r="G215" s="442"/>
      <c r="H215" s="442"/>
      <c r="I215" s="442"/>
      <c r="J215" s="442"/>
      <c r="K215" s="442"/>
      <c r="L215" s="442"/>
      <c r="M215" s="442"/>
      <c r="N215" s="442"/>
      <c r="O215" s="442"/>
      <c r="P215" s="442"/>
      <c r="Q215" s="442"/>
      <c r="R215" s="443"/>
      <c r="S215" s="443"/>
      <c r="T215" s="443"/>
      <c r="U215" s="443"/>
      <c r="V215" s="443"/>
      <c r="W215" s="443"/>
      <c r="X215" s="443"/>
      <c r="Y215" s="443"/>
      <c r="Z215" s="443"/>
      <c r="AA215" s="444"/>
      <c r="AB215" s="444"/>
      <c r="AC215" s="444"/>
      <c r="AD215" s="441"/>
      <c r="AE215" s="441"/>
      <c r="AF215" s="441"/>
      <c r="AG215" s="441"/>
      <c r="AH215" s="441"/>
      <c r="AI215" s="441"/>
      <c r="AJ215" s="441"/>
      <c r="AK215" s="441"/>
      <c r="AL215" s="441"/>
      <c r="AM215" s="441"/>
    </row>
    <row r="216" spans="1:45" ht="30" customHeight="1" x14ac:dyDescent="0.4">
      <c r="D216" s="442" t="s">
        <v>13</v>
      </c>
      <c r="E216" s="442"/>
      <c r="F216" s="442"/>
      <c r="G216" s="442"/>
      <c r="H216" s="442"/>
      <c r="I216" s="442"/>
      <c r="J216" s="442"/>
      <c r="K216" s="442"/>
      <c r="L216" s="442"/>
      <c r="M216" s="442"/>
      <c r="N216" s="442"/>
      <c r="O216" s="442"/>
      <c r="P216" s="442"/>
      <c r="Q216" s="442"/>
      <c r="R216" s="443"/>
      <c r="S216" s="443"/>
      <c r="T216" s="443"/>
      <c r="U216" s="443"/>
      <c r="V216" s="443"/>
      <c r="W216" s="443"/>
      <c r="X216" s="443"/>
      <c r="Y216" s="443"/>
      <c r="Z216" s="443"/>
      <c r="AA216" s="444"/>
      <c r="AB216" s="444"/>
      <c r="AC216" s="444"/>
      <c r="AD216" s="441"/>
      <c r="AE216" s="441"/>
      <c r="AF216" s="441"/>
      <c r="AG216" s="441"/>
      <c r="AH216" s="441"/>
      <c r="AI216" s="441"/>
      <c r="AJ216" s="441"/>
      <c r="AK216" s="441"/>
      <c r="AL216" s="441"/>
      <c r="AM216" s="441"/>
    </row>
    <row r="217" spans="1:45" ht="12.75" customHeight="1" x14ac:dyDescent="0.4"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3"/>
      <c r="AB217" s="143"/>
      <c r="AC217" s="143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</row>
    <row r="218" spans="1:45" ht="14.25" customHeight="1" x14ac:dyDescent="0.4">
      <c r="A218" s="274"/>
      <c r="B218" s="489" t="str">
        <f>U10組合せ!$B$1</f>
        <v>ＪＦＡ　Ｕ-１０サッカーリーグ2021（in栃木） 宇都宮地区リーグ戦（前期）</v>
      </c>
      <c r="C218" s="489"/>
      <c r="D218" s="489"/>
      <c r="E218" s="489"/>
      <c r="F218" s="489"/>
      <c r="G218" s="489"/>
      <c r="H218" s="489"/>
      <c r="I218" s="489"/>
      <c r="J218" s="489"/>
      <c r="K218" s="489"/>
      <c r="L218" s="489"/>
      <c r="M218" s="489"/>
      <c r="N218" s="489"/>
      <c r="O218" s="489"/>
      <c r="P218" s="489"/>
      <c r="Q218" s="489"/>
      <c r="R218" s="489"/>
      <c r="S218" s="489"/>
      <c r="T218" s="489"/>
      <c r="U218" s="489"/>
      <c r="V218" s="489"/>
      <c r="W218" s="489"/>
      <c r="X218" s="489"/>
      <c r="Y218" s="489"/>
      <c r="Z218" s="489"/>
      <c r="AA218" s="489"/>
      <c r="AB218" s="489"/>
      <c r="AC218" s="490" t="str">
        <f>"【"&amp;(U10組合せ!$D$3)&amp;"】"</f>
        <v>【Ａ ブロック】</v>
      </c>
      <c r="AD218" s="490"/>
      <c r="AE218" s="490"/>
      <c r="AF218" s="490"/>
      <c r="AG218" s="490"/>
      <c r="AH218" s="490"/>
      <c r="AI218" s="490"/>
      <c r="AJ218" s="490"/>
      <c r="AK218" s="490" t="str">
        <f>"第"&amp;(U10組合せ!$D$37)</f>
        <v>第４節</v>
      </c>
      <c r="AL218" s="490"/>
      <c r="AM218" s="490"/>
      <c r="AN218" s="490"/>
      <c r="AO218" s="490"/>
      <c r="AP218" s="491" t="s">
        <v>196</v>
      </c>
      <c r="AQ218" s="492"/>
    </row>
    <row r="219" spans="1:45" ht="22.5" customHeight="1" x14ac:dyDescent="0.4">
      <c r="A219" s="274"/>
      <c r="B219" s="489"/>
      <c r="C219" s="489"/>
      <c r="D219" s="489"/>
      <c r="E219" s="489"/>
      <c r="F219" s="489"/>
      <c r="G219" s="489"/>
      <c r="H219" s="489"/>
      <c r="I219" s="489"/>
      <c r="J219" s="489"/>
      <c r="K219" s="489"/>
      <c r="L219" s="489"/>
      <c r="M219" s="489"/>
      <c r="N219" s="489"/>
      <c r="O219" s="489"/>
      <c r="P219" s="489"/>
      <c r="Q219" s="489"/>
      <c r="R219" s="489"/>
      <c r="S219" s="489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90"/>
      <c r="AD219" s="490"/>
      <c r="AE219" s="490"/>
      <c r="AF219" s="490"/>
      <c r="AG219" s="490"/>
      <c r="AH219" s="490"/>
      <c r="AI219" s="490"/>
      <c r="AJ219" s="490"/>
      <c r="AK219" s="490"/>
      <c r="AL219" s="490"/>
      <c r="AM219" s="490"/>
      <c r="AN219" s="490"/>
      <c r="AO219" s="490"/>
      <c r="AP219" s="492"/>
      <c r="AQ219" s="492"/>
    </row>
    <row r="220" spans="1:45" ht="27.75" customHeight="1" x14ac:dyDescent="0.4">
      <c r="C220" s="477" t="s">
        <v>1</v>
      </c>
      <c r="D220" s="477"/>
      <c r="E220" s="477"/>
      <c r="F220" s="477"/>
      <c r="G220" s="478" t="str">
        <f>U10対戦スケジュール!C69</f>
        <v>清原南小</v>
      </c>
      <c r="H220" s="479"/>
      <c r="I220" s="479"/>
      <c r="J220" s="479"/>
      <c r="K220" s="479"/>
      <c r="L220" s="479"/>
      <c r="M220" s="479"/>
      <c r="N220" s="479"/>
      <c r="O220" s="480"/>
      <c r="P220" s="477" t="s">
        <v>0</v>
      </c>
      <c r="Q220" s="477"/>
      <c r="R220" s="477"/>
      <c r="S220" s="477"/>
      <c r="T220" s="481" t="str">
        <f>S222</f>
        <v>清原シザース</v>
      </c>
      <c r="U220" s="481"/>
      <c r="V220" s="481"/>
      <c r="W220" s="481"/>
      <c r="X220" s="481"/>
      <c r="Y220" s="481"/>
      <c r="Z220" s="481"/>
      <c r="AA220" s="481"/>
      <c r="AB220" s="481"/>
      <c r="AC220" s="477" t="s">
        <v>2</v>
      </c>
      <c r="AD220" s="477"/>
      <c r="AE220" s="477"/>
      <c r="AF220" s="477"/>
      <c r="AG220" s="482">
        <f>U10組合せ!B37</f>
        <v>44353</v>
      </c>
      <c r="AH220" s="483"/>
      <c r="AI220" s="483"/>
      <c r="AJ220" s="483"/>
      <c r="AK220" s="483"/>
      <c r="AL220" s="483"/>
      <c r="AM220" s="484" t="str">
        <f>"（"&amp;TEXT(AG220,"aaa")&amp;"）"</f>
        <v>（日）</v>
      </c>
      <c r="AN220" s="484"/>
      <c r="AO220" s="485"/>
    </row>
    <row r="221" spans="1:45" ht="15" customHeight="1" x14ac:dyDescent="0.4">
      <c r="C221" s="134" t="str">
        <f>U10組合せ!E40</f>
        <v>A3478</v>
      </c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3"/>
      <c r="X221" s="133"/>
      <c r="Y221" s="133"/>
      <c r="Z221" s="133"/>
      <c r="AA221" s="133"/>
      <c r="AB221" s="133"/>
      <c r="AC221" s="133"/>
    </row>
    <row r="222" spans="1:45" s="155" customFormat="1" ht="29.25" customHeight="1" x14ac:dyDescent="0.4">
      <c r="A222" s="134"/>
      <c r="B222" s="134"/>
      <c r="C222" s="486">
        <v>1</v>
      </c>
      <c r="D222" s="486"/>
      <c r="E222" s="487" t="str">
        <f>VLOOKUP(C222,U10組合せ!$B$10:$I$17,3,TRUE)</f>
        <v>富士見SSS</v>
      </c>
      <c r="F222" s="487"/>
      <c r="G222" s="487"/>
      <c r="H222" s="487"/>
      <c r="I222" s="487"/>
      <c r="J222" s="487"/>
      <c r="K222" s="487"/>
      <c r="L222" s="487"/>
      <c r="M222" s="487"/>
      <c r="N222" s="487"/>
      <c r="O222" s="148"/>
      <c r="P222" s="148"/>
      <c r="Q222" s="481">
        <v>4</v>
      </c>
      <c r="R222" s="481"/>
      <c r="S222" s="488" t="str">
        <f>VLOOKUP(Q222,U10組合せ!$B$10:$I$17,3,TRUE)</f>
        <v>清原シザース</v>
      </c>
      <c r="T222" s="488"/>
      <c r="U222" s="488"/>
      <c r="V222" s="488"/>
      <c r="W222" s="488"/>
      <c r="X222" s="488"/>
      <c r="Y222" s="488"/>
      <c r="Z222" s="488"/>
      <c r="AA222" s="488"/>
      <c r="AB222" s="488"/>
      <c r="AC222" s="131"/>
      <c r="AD222" s="132"/>
      <c r="AE222" s="481">
        <v>7</v>
      </c>
      <c r="AF222" s="481"/>
      <c r="AG222" s="488" t="str">
        <f>VLOOKUP(AE222,U10組合せ!$B$10:$I$17,3,TRUE)</f>
        <v>上河内JSC</v>
      </c>
      <c r="AH222" s="488"/>
      <c r="AI222" s="488"/>
      <c r="AJ222" s="488"/>
      <c r="AK222" s="488"/>
      <c r="AL222" s="488"/>
      <c r="AM222" s="488"/>
      <c r="AN222" s="488"/>
      <c r="AO222" s="488"/>
      <c r="AP222" s="488"/>
      <c r="AR222" s="155">
        <f>228/2</f>
        <v>114</v>
      </c>
    </row>
    <row r="223" spans="1:45" s="155" customFormat="1" ht="29.25" customHeight="1" x14ac:dyDescent="0.4">
      <c r="C223" s="486">
        <v>2</v>
      </c>
      <c r="D223" s="486"/>
      <c r="E223" s="487" t="str">
        <f>VLOOKUP(C223,U10組合せ!$B$10:$I$17,3,TRUE)</f>
        <v>unionscU10</v>
      </c>
      <c r="F223" s="487"/>
      <c r="G223" s="487"/>
      <c r="H223" s="487"/>
      <c r="I223" s="487"/>
      <c r="J223" s="487"/>
      <c r="K223" s="487"/>
      <c r="L223" s="487"/>
      <c r="M223" s="487"/>
      <c r="N223" s="487"/>
      <c r="O223" s="148"/>
      <c r="P223" s="148"/>
      <c r="Q223" s="486">
        <v>5</v>
      </c>
      <c r="R223" s="486"/>
      <c r="S223" s="487" t="str">
        <f>VLOOKUP(Q223,U10組合せ!$B$10:$I$17,3,TRUE)</f>
        <v>サウス宇都宮SC</v>
      </c>
      <c r="T223" s="487"/>
      <c r="U223" s="487"/>
      <c r="V223" s="487"/>
      <c r="W223" s="487"/>
      <c r="X223" s="487"/>
      <c r="Y223" s="487"/>
      <c r="Z223" s="487"/>
      <c r="AA223" s="487"/>
      <c r="AB223" s="487"/>
      <c r="AC223" s="131"/>
      <c r="AD223" s="132"/>
      <c r="AE223" s="481">
        <v>8</v>
      </c>
      <c r="AF223" s="481"/>
      <c r="AG223" s="488" t="str">
        <f>VLOOKUP(AE223,U10組合せ!$B$10:$I$17,3,TRUE)</f>
        <v>FC グランディール</v>
      </c>
      <c r="AH223" s="488"/>
      <c r="AI223" s="488"/>
      <c r="AJ223" s="488"/>
      <c r="AK223" s="488"/>
      <c r="AL223" s="488"/>
      <c r="AM223" s="488"/>
      <c r="AN223" s="488"/>
      <c r="AO223" s="488"/>
      <c r="AP223" s="488"/>
      <c r="AR223" s="155">
        <v>71</v>
      </c>
    </row>
    <row r="224" spans="1:45" s="155" customFormat="1" ht="29.25" customHeight="1" x14ac:dyDescent="0.4">
      <c r="C224" s="481">
        <v>3</v>
      </c>
      <c r="D224" s="481"/>
      <c r="E224" s="488" t="str">
        <f>VLOOKUP(C224,U10組合せ!$B$10:$I$17,3,TRUE)</f>
        <v>ISOSC</v>
      </c>
      <c r="F224" s="488"/>
      <c r="G224" s="488"/>
      <c r="H224" s="488"/>
      <c r="I224" s="488"/>
      <c r="J224" s="488"/>
      <c r="K224" s="488"/>
      <c r="L224" s="488"/>
      <c r="M224" s="488"/>
      <c r="N224" s="488"/>
      <c r="O224" s="148"/>
      <c r="P224" s="148"/>
      <c r="Q224" s="486">
        <v>6</v>
      </c>
      <c r="R224" s="486"/>
      <c r="S224" s="487" t="str">
        <f>VLOOKUP(Q224,U10組合せ!$B$10:$I$17,3,TRUE)</f>
        <v>ともぞうSC U10</v>
      </c>
      <c r="T224" s="487"/>
      <c r="U224" s="487"/>
      <c r="V224" s="487"/>
      <c r="W224" s="487"/>
      <c r="X224" s="487"/>
      <c r="Y224" s="487"/>
      <c r="Z224" s="487"/>
      <c r="AA224" s="487"/>
      <c r="AB224" s="487"/>
      <c r="AC224" s="131"/>
      <c r="AD224" s="132"/>
      <c r="AE224" s="486">
        <v>9</v>
      </c>
      <c r="AF224" s="486"/>
      <c r="AG224" s="487"/>
      <c r="AH224" s="487"/>
      <c r="AI224" s="487"/>
      <c r="AJ224" s="487"/>
      <c r="AK224" s="487"/>
      <c r="AL224" s="487"/>
      <c r="AM224" s="487"/>
      <c r="AN224" s="487"/>
      <c r="AO224" s="487"/>
      <c r="AP224" s="487"/>
      <c r="AR224" s="155">
        <f>AR222-AR223</f>
        <v>43</v>
      </c>
    </row>
    <row r="225" spans="2:45" ht="8.25" customHeight="1" x14ac:dyDescent="0.4">
      <c r="O225" s="138"/>
      <c r="P225" s="138"/>
      <c r="AC225" s="133"/>
    </row>
    <row r="226" spans="2:45" ht="8.25" customHeight="1" x14ac:dyDescent="0.4">
      <c r="C226" s="149"/>
      <c r="D226" s="150"/>
      <c r="E226" s="150"/>
      <c r="F226" s="150"/>
      <c r="G226" s="150"/>
      <c r="H226" s="150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50"/>
      <c r="U226" s="138"/>
      <c r="V226" s="150"/>
      <c r="W226" s="138"/>
      <c r="X226" s="150"/>
      <c r="Y226" s="138"/>
      <c r="Z226" s="150"/>
      <c r="AA226" s="138"/>
      <c r="AB226" s="150"/>
      <c r="AC226" s="150"/>
    </row>
    <row r="227" spans="2:45" ht="21" customHeight="1" x14ac:dyDescent="0.4">
      <c r="B227" s="134" t="s">
        <v>181</v>
      </c>
    </row>
    <row r="228" spans="2:45" ht="20.25" customHeight="1" x14ac:dyDescent="0.4">
      <c r="B228" s="135"/>
      <c r="C228" s="469" t="s">
        <v>3</v>
      </c>
      <c r="D228" s="469"/>
      <c r="E228" s="469"/>
      <c r="F228" s="470" t="s">
        <v>4</v>
      </c>
      <c r="G228" s="470"/>
      <c r="H228" s="470"/>
      <c r="I228" s="470"/>
      <c r="J228" s="469" t="s">
        <v>5</v>
      </c>
      <c r="K228" s="471"/>
      <c r="L228" s="471"/>
      <c r="M228" s="471"/>
      <c r="N228" s="471"/>
      <c r="O228" s="471"/>
      <c r="P228" s="471"/>
      <c r="Q228" s="469" t="s">
        <v>40</v>
      </c>
      <c r="R228" s="469"/>
      <c r="S228" s="469"/>
      <c r="T228" s="469"/>
      <c r="U228" s="469"/>
      <c r="V228" s="469"/>
      <c r="W228" s="469"/>
      <c r="X228" s="469" t="s">
        <v>5</v>
      </c>
      <c r="Y228" s="471"/>
      <c r="Z228" s="471"/>
      <c r="AA228" s="471"/>
      <c r="AB228" s="471"/>
      <c r="AC228" s="471"/>
      <c r="AD228" s="471"/>
      <c r="AE228" s="470" t="s">
        <v>4</v>
      </c>
      <c r="AF228" s="470"/>
      <c r="AG228" s="470"/>
      <c r="AH228" s="470"/>
      <c r="AI228" s="469" t="s">
        <v>7</v>
      </c>
      <c r="AJ228" s="469"/>
      <c r="AK228" s="471"/>
      <c r="AL228" s="471"/>
      <c r="AM228" s="471"/>
      <c r="AN228" s="471"/>
      <c r="AO228" s="471"/>
      <c r="AP228" s="471"/>
    </row>
    <row r="229" spans="2:45" ht="20.100000000000001" customHeight="1" x14ac:dyDescent="0.4">
      <c r="B229" s="442" t="str">
        <f ca="1">DBCS(INDIRECT("U10対戦スケジュール!A"&amp;(ROW()-1)/2-43))</f>
        <v>①</v>
      </c>
      <c r="C229" s="461">
        <f ca="1">VLOOKUP(B229,U10対戦スケジュール!A$71:F$72,2,TRUE)</f>
        <v>0.375</v>
      </c>
      <c r="D229" s="462"/>
      <c r="E229" s="463"/>
      <c r="F229" s="449"/>
      <c r="G229" s="449"/>
      <c r="H229" s="449"/>
      <c r="I229" s="449"/>
      <c r="J229" s="467" t="str">
        <f ca="1">VLOOKUP(AR229,U10組合せ!$B$10:$I$17,3,TRUE)</f>
        <v>ISOSC</v>
      </c>
      <c r="K229" s="468"/>
      <c r="L229" s="468"/>
      <c r="M229" s="468"/>
      <c r="N229" s="468"/>
      <c r="O229" s="468"/>
      <c r="P229" s="468"/>
      <c r="Q229" s="446" t="str">
        <f>IF(OR(S229="",S230=""),"",S229+S230)</f>
        <v/>
      </c>
      <c r="R229" s="446"/>
      <c r="S229" s="136"/>
      <c r="T229" s="137" t="s">
        <v>8</v>
      </c>
      <c r="U229" s="136"/>
      <c r="V229" s="446" t="str">
        <f>IF(OR(U229="",U230=""),"",U229+U230)</f>
        <v/>
      </c>
      <c r="W229" s="446"/>
      <c r="X229" s="467" t="str">
        <f ca="1">VLOOKUP(AS229,U10組合せ!$B$10:$I$17,3,TRUE)</f>
        <v>上河内JSC</v>
      </c>
      <c r="Y229" s="468"/>
      <c r="Z229" s="468"/>
      <c r="AA229" s="468"/>
      <c r="AB229" s="468"/>
      <c r="AC229" s="468"/>
      <c r="AD229" s="468"/>
      <c r="AE229" s="449"/>
      <c r="AF229" s="449"/>
      <c r="AG229" s="449"/>
      <c r="AH229" s="449"/>
      <c r="AI229" s="446" t="str">
        <f ca="1">DBCS(VLOOKUP(B229,U10対戦スケジュール!A$71:F$72,6,TRUE))</f>
        <v>４／８／８／４</v>
      </c>
      <c r="AJ229" s="449" t="e">
        <f>VLOOKUP(#REF!,U10対戦スケジュール!#REF!,3,TRUE)</f>
        <v>#REF!</v>
      </c>
      <c r="AK229" s="449" t="e">
        <f>VLOOKUP(#REF!,U10対戦スケジュール!#REF!,3,TRUE)</f>
        <v>#REF!</v>
      </c>
      <c r="AL229" s="449" t="e">
        <f>VLOOKUP(#REF!,U10対戦スケジュール!#REF!,3,TRUE)</f>
        <v>#REF!</v>
      </c>
      <c r="AM229" s="449" t="e">
        <f>VLOOKUP(#REF!,U10対戦スケジュール!#REF!,3,TRUE)</f>
        <v>#REF!</v>
      </c>
      <c r="AN229" s="449" t="e">
        <f>VLOOKUP(#REF!,U10対戦スケジュール!#REF!,3,TRUE)</f>
        <v>#REF!</v>
      </c>
      <c r="AO229" s="449" t="e">
        <f>VLOOKUP(#REF!,U10対戦スケジュール!#REF!,3,TRUE)</f>
        <v>#REF!</v>
      </c>
      <c r="AP229" s="449" t="e">
        <f>VLOOKUP(#REF!,U10対戦スケジュール!#REF!,3,TRUE)</f>
        <v>#REF!</v>
      </c>
      <c r="AR229" s="151">
        <f ca="1">VLOOKUP(B229,U10対戦スケジュール!A$71:F$72,3,TRUE)</f>
        <v>3</v>
      </c>
      <c r="AS229" s="151">
        <f ca="1">VLOOKUP(B229,U10対戦スケジュール!A$71:F$72,5)</f>
        <v>7</v>
      </c>
    </row>
    <row r="230" spans="2:45" ht="20.100000000000001" customHeight="1" x14ac:dyDescent="0.4">
      <c r="B230" s="442"/>
      <c r="C230" s="464"/>
      <c r="D230" s="465"/>
      <c r="E230" s="466"/>
      <c r="F230" s="449"/>
      <c r="G230" s="449"/>
      <c r="H230" s="449"/>
      <c r="I230" s="449"/>
      <c r="J230" s="468"/>
      <c r="K230" s="468"/>
      <c r="L230" s="468"/>
      <c r="M230" s="468"/>
      <c r="N230" s="468"/>
      <c r="O230" s="468"/>
      <c r="P230" s="468"/>
      <c r="Q230" s="446"/>
      <c r="R230" s="446"/>
      <c r="S230" s="136"/>
      <c r="T230" s="137" t="s">
        <v>8</v>
      </c>
      <c r="U230" s="136"/>
      <c r="V230" s="446"/>
      <c r="W230" s="446"/>
      <c r="X230" s="468"/>
      <c r="Y230" s="468"/>
      <c r="Z230" s="468"/>
      <c r="AA230" s="468"/>
      <c r="AB230" s="468"/>
      <c r="AC230" s="468"/>
      <c r="AD230" s="468"/>
      <c r="AE230" s="449"/>
      <c r="AF230" s="449"/>
      <c r="AG230" s="449"/>
      <c r="AH230" s="449"/>
      <c r="AI230" s="449" t="e">
        <f>VLOOKUP(#REF!,U10対戦スケジュール!#REF!,3,TRUE)</f>
        <v>#REF!</v>
      </c>
      <c r="AJ230" s="449" t="e">
        <f>VLOOKUP(#REF!,U10対戦スケジュール!#REF!,3,TRUE)</f>
        <v>#REF!</v>
      </c>
      <c r="AK230" s="449" t="e">
        <f>VLOOKUP(#REF!,U10対戦スケジュール!#REF!,3,TRUE)</f>
        <v>#REF!</v>
      </c>
      <c r="AL230" s="449" t="e">
        <f>VLOOKUP(#REF!,U10対戦スケジュール!#REF!,3,TRUE)</f>
        <v>#REF!</v>
      </c>
      <c r="AM230" s="449" t="e">
        <f>VLOOKUP(#REF!,U10対戦スケジュール!#REF!,3,TRUE)</f>
        <v>#REF!</v>
      </c>
      <c r="AN230" s="449" t="e">
        <f>VLOOKUP(#REF!,U10対戦スケジュール!#REF!,3,TRUE)</f>
        <v>#REF!</v>
      </c>
      <c r="AO230" s="449" t="e">
        <f>VLOOKUP(#REF!,U10対戦スケジュール!#REF!,3,TRUE)</f>
        <v>#REF!</v>
      </c>
      <c r="AP230" s="449" t="e">
        <f>VLOOKUP(#REF!,U10対戦スケジュール!#REF!,3,TRUE)</f>
        <v>#REF!</v>
      </c>
      <c r="AR230" s="151"/>
      <c r="AS230" s="151"/>
    </row>
    <row r="231" spans="2:45" ht="20.100000000000001" customHeight="1" x14ac:dyDescent="0.4">
      <c r="B231" s="442" t="str">
        <f ca="1">DBCS(INDIRECT("U10対戦スケジュール!A"&amp;(ROW()-1)/2-43))</f>
        <v>②</v>
      </c>
      <c r="C231" s="461">
        <f ca="1">VLOOKUP(B231,U10対戦スケジュール!A$71:F$72,2,TRUE)</f>
        <v>0.40279999999999999</v>
      </c>
      <c r="D231" s="462"/>
      <c r="E231" s="463"/>
      <c r="F231" s="449"/>
      <c r="G231" s="449"/>
      <c r="H231" s="449"/>
      <c r="I231" s="449"/>
      <c r="J231" s="467" t="str">
        <f ca="1">VLOOKUP(AR231,U10組合せ!$B$10:$I$17,3,TRUE)</f>
        <v>清原シザース</v>
      </c>
      <c r="K231" s="468"/>
      <c r="L231" s="468"/>
      <c r="M231" s="468"/>
      <c r="N231" s="468"/>
      <c r="O231" s="468"/>
      <c r="P231" s="468"/>
      <c r="Q231" s="446" t="str">
        <f>IF(OR(S231="",S232=""),"",S231+S232)</f>
        <v/>
      </c>
      <c r="R231" s="446"/>
      <c r="S231" s="136"/>
      <c r="T231" s="137" t="s">
        <v>8</v>
      </c>
      <c r="U231" s="136"/>
      <c r="V231" s="446" t="str">
        <f>IF(OR(U231="",U232=""),"",U231+U232)</f>
        <v/>
      </c>
      <c r="W231" s="446"/>
      <c r="X231" s="467" t="str">
        <f ca="1">VLOOKUP(AS231,U10組合せ!$B$10:$I$17,3,TRUE)</f>
        <v>FC グランディール</v>
      </c>
      <c r="Y231" s="468"/>
      <c r="Z231" s="468"/>
      <c r="AA231" s="468"/>
      <c r="AB231" s="468"/>
      <c r="AC231" s="468"/>
      <c r="AD231" s="468"/>
      <c r="AE231" s="449"/>
      <c r="AF231" s="449"/>
      <c r="AG231" s="449"/>
      <c r="AH231" s="449"/>
      <c r="AI231" s="446" t="str">
        <f ca="1">DBCS(VLOOKUP(B231,U10対戦スケジュール!A$71:F$72,6,TRUE))</f>
        <v>３／７／７／３</v>
      </c>
      <c r="AJ231" s="449" t="e">
        <f>VLOOKUP(#REF!,U10対戦スケジュール!#REF!,3,TRUE)</f>
        <v>#REF!</v>
      </c>
      <c r="AK231" s="449" t="e">
        <f>VLOOKUP(#REF!,U10対戦スケジュール!#REF!,3,TRUE)</f>
        <v>#REF!</v>
      </c>
      <c r="AL231" s="449" t="e">
        <f>VLOOKUP(#REF!,U10対戦スケジュール!#REF!,3,TRUE)</f>
        <v>#REF!</v>
      </c>
      <c r="AM231" s="449" t="e">
        <f>VLOOKUP(#REF!,U10対戦スケジュール!#REF!,3,TRUE)</f>
        <v>#REF!</v>
      </c>
      <c r="AN231" s="449" t="e">
        <f>VLOOKUP(#REF!,U10対戦スケジュール!#REF!,3,TRUE)</f>
        <v>#REF!</v>
      </c>
      <c r="AO231" s="449" t="e">
        <f>VLOOKUP(#REF!,U10対戦スケジュール!#REF!,3,TRUE)</f>
        <v>#REF!</v>
      </c>
      <c r="AP231" s="449" t="e">
        <f>VLOOKUP(#REF!,U10対戦スケジュール!#REF!,3,TRUE)</f>
        <v>#REF!</v>
      </c>
      <c r="AR231" s="151">
        <f ca="1">VLOOKUP(B231,U10対戦スケジュール!A$71:F$72,3,TRUE)</f>
        <v>4</v>
      </c>
      <c r="AS231" s="151">
        <f ca="1">VLOOKUP(B231,U10対戦スケジュール!A$71:F$72,5)</f>
        <v>8</v>
      </c>
    </row>
    <row r="232" spans="2:45" ht="20.100000000000001" customHeight="1" x14ac:dyDescent="0.4">
      <c r="B232" s="442"/>
      <c r="C232" s="464"/>
      <c r="D232" s="465"/>
      <c r="E232" s="466"/>
      <c r="F232" s="449"/>
      <c r="G232" s="449"/>
      <c r="H232" s="449"/>
      <c r="I232" s="449"/>
      <c r="J232" s="468"/>
      <c r="K232" s="468"/>
      <c r="L232" s="468"/>
      <c r="M232" s="468"/>
      <c r="N232" s="468"/>
      <c r="O232" s="468"/>
      <c r="P232" s="468"/>
      <c r="Q232" s="446"/>
      <c r="R232" s="446"/>
      <c r="S232" s="136"/>
      <c r="T232" s="137" t="s">
        <v>8</v>
      </c>
      <c r="U232" s="136"/>
      <c r="V232" s="446"/>
      <c r="W232" s="446"/>
      <c r="X232" s="468"/>
      <c r="Y232" s="468"/>
      <c r="Z232" s="468"/>
      <c r="AA232" s="468"/>
      <c r="AB232" s="468"/>
      <c r="AC232" s="468"/>
      <c r="AD232" s="468"/>
      <c r="AE232" s="449"/>
      <c r="AF232" s="449"/>
      <c r="AG232" s="449"/>
      <c r="AH232" s="449"/>
      <c r="AI232" s="449" t="e">
        <f>VLOOKUP(#REF!,U10対戦スケジュール!#REF!,3,TRUE)</f>
        <v>#REF!</v>
      </c>
      <c r="AJ232" s="449" t="e">
        <f>VLOOKUP(#REF!,U10対戦スケジュール!#REF!,3,TRUE)</f>
        <v>#REF!</v>
      </c>
      <c r="AK232" s="449" t="e">
        <f>VLOOKUP(#REF!,U10対戦スケジュール!#REF!,3,TRUE)</f>
        <v>#REF!</v>
      </c>
      <c r="AL232" s="449" t="e">
        <f>VLOOKUP(#REF!,U10対戦スケジュール!#REF!,3,TRUE)</f>
        <v>#REF!</v>
      </c>
      <c r="AM232" s="449" t="e">
        <f>VLOOKUP(#REF!,U10対戦スケジュール!#REF!,3,TRUE)</f>
        <v>#REF!</v>
      </c>
      <c r="AN232" s="449" t="e">
        <f>VLOOKUP(#REF!,U10対戦スケジュール!#REF!,3,TRUE)</f>
        <v>#REF!</v>
      </c>
      <c r="AO232" s="449" t="e">
        <f>VLOOKUP(#REF!,U10対戦スケジュール!#REF!,3,TRUE)</f>
        <v>#REF!</v>
      </c>
      <c r="AP232" s="449" t="e">
        <f>VLOOKUP(#REF!,U10対戦スケジュール!#REF!,3,TRUE)</f>
        <v>#REF!</v>
      </c>
    </row>
    <row r="233" spans="2:45" ht="20.100000000000001" customHeight="1" x14ac:dyDescent="0.4">
      <c r="B233" s="442"/>
      <c r="C233" s="461"/>
      <c r="D233" s="462"/>
      <c r="E233" s="463"/>
      <c r="F233" s="449"/>
      <c r="G233" s="449"/>
      <c r="H233" s="449"/>
      <c r="I233" s="449"/>
      <c r="J233" s="467"/>
      <c r="K233" s="468"/>
      <c r="L233" s="468"/>
      <c r="M233" s="468"/>
      <c r="N233" s="468"/>
      <c r="O233" s="468"/>
      <c r="P233" s="468"/>
      <c r="Q233" s="446"/>
      <c r="R233" s="446"/>
      <c r="S233" s="136"/>
      <c r="T233" s="137"/>
      <c r="U233" s="136"/>
      <c r="V233" s="446"/>
      <c r="W233" s="446"/>
      <c r="X233" s="467"/>
      <c r="Y233" s="468"/>
      <c r="Z233" s="468"/>
      <c r="AA233" s="468"/>
      <c r="AB233" s="468"/>
      <c r="AC233" s="468"/>
      <c r="AD233" s="468"/>
      <c r="AE233" s="449"/>
      <c r="AF233" s="449"/>
      <c r="AG233" s="449"/>
      <c r="AH233" s="449"/>
      <c r="AI233" s="446"/>
      <c r="AJ233" s="449"/>
      <c r="AK233" s="449"/>
      <c r="AL233" s="449"/>
      <c r="AM233" s="449"/>
      <c r="AN233" s="449"/>
      <c r="AO233" s="449"/>
      <c r="AP233" s="449"/>
      <c r="AR233" s="151"/>
      <c r="AS233" s="151"/>
    </row>
    <row r="234" spans="2:45" ht="20.100000000000001" customHeight="1" x14ac:dyDescent="0.4">
      <c r="B234" s="442"/>
      <c r="C234" s="464"/>
      <c r="D234" s="465"/>
      <c r="E234" s="466"/>
      <c r="F234" s="449"/>
      <c r="G234" s="449"/>
      <c r="H234" s="449"/>
      <c r="I234" s="449"/>
      <c r="J234" s="468"/>
      <c r="K234" s="468"/>
      <c r="L234" s="468"/>
      <c r="M234" s="468"/>
      <c r="N234" s="468"/>
      <c r="O234" s="468"/>
      <c r="P234" s="468"/>
      <c r="Q234" s="446"/>
      <c r="R234" s="446"/>
      <c r="S234" s="136"/>
      <c r="T234" s="137"/>
      <c r="U234" s="136"/>
      <c r="V234" s="446"/>
      <c r="W234" s="446"/>
      <c r="X234" s="468"/>
      <c r="Y234" s="468"/>
      <c r="Z234" s="468"/>
      <c r="AA234" s="468"/>
      <c r="AB234" s="468"/>
      <c r="AC234" s="468"/>
      <c r="AD234" s="468"/>
      <c r="AE234" s="449"/>
      <c r="AF234" s="449"/>
      <c r="AG234" s="449"/>
      <c r="AH234" s="449"/>
      <c r="AI234" s="449"/>
      <c r="AJ234" s="449"/>
      <c r="AK234" s="449"/>
      <c r="AL234" s="449"/>
      <c r="AM234" s="449"/>
      <c r="AN234" s="449"/>
      <c r="AO234" s="449"/>
      <c r="AP234" s="449"/>
      <c r="AR234" s="151"/>
      <c r="AS234" s="151"/>
    </row>
    <row r="235" spans="2:45" ht="20.100000000000001" customHeight="1" x14ac:dyDescent="0.4">
      <c r="B235" s="442"/>
      <c r="C235" s="461"/>
      <c r="D235" s="462"/>
      <c r="E235" s="463"/>
      <c r="F235" s="449"/>
      <c r="G235" s="449"/>
      <c r="H235" s="449"/>
      <c r="I235" s="449"/>
      <c r="J235" s="467"/>
      <c r="K235" s="468"/>
      <c r="L235" s="468"/>
      <c r="M235" s="468"/>
      <c r="N235" s="468"/>
      <c r="O235" s="468"/>
      <c r="P235" s="468"/>
      <c r="Q235" s="446"/>
      <c r="R235" s="446"/>
      <c r="S235" s="136"/>
      <c r="T235" s="137"/>
      <c r="U235" s="136"/>
      <c r="V235" s="446"/>
      <c r="W235" s="446"/>
      <c r="X235" s="467"/>
      <c r="Y235" s="468"/>
      <c r="Z235" s="468"/>
      <c r="AA235" s="468"/>
      <c r="AB235" s="468"/>
      <c r="AC235" s="468"/>
      <c r="AD235" s="468"/>
      <c r="AE235" s="449"/>
      <c r="AF235" s="449"/>
      <c r="AG235" s="449"/>
      <c r="AH235" s="449"/>
      <c r="AI235" s="446"/>
      <c r="AJ235" s="449"/>
      <c r="AK235" s="449"/>
      <c r="AL235" s="449"/>
      <c r="AM235" s="449"/>
      <c r="AN235" s="449"/>
      <c r="AO235" s="449"/>
      <c r="AP235" s="449"/>
      <c r="AR235" s="151"/>
      <c r="AS235" s="151"/>
    </row>
    <row r="236" spans="2:45" ht="20.100000000000001" customHeight="1" x14ac:dyDescent="0.4">
      <c r="B236" s="442"/>
      <c r="C236" s="464"/>
      <c r="D236" s="465"/>
      <c r="E236" s="466"/>
      <c r="F236" s="449"/>
      <c r="G236" s="449"/>
      <c r="H236" s="449"/>
      <c r="I236" s="449"/>
      <c r="J236" s="468"/>
      <c r="K236" s="468"/>
      <c r="L236" s="468"/>
      <c r="M236" s="468"/>
      <c r="N236" s="468"/>
      <c r="O236" s="468"/>
      <c r="P236" s="468"/>
      <c r="Q236" s="446"/>
      <c r="R236" s="446"/>
      <c r="S236" s="136"/>
      <c r="T236" s="137"/>
      <c r="U236" s="136"/>
      <c r="V236" s="446"/>
      <c r="W236" s="446"/>
      <c r="X236" s="468"/>
      <c r="Y236" s="468"/>
      <c r="Z236" s="468"/>
      <c r="AA236" s="468"/>
      <c r="AB236" s="468"/>
      <c r="AC236" s="468"/>
      <c r="AD236" s="468"/>
      <c r="AE236" s="449"/>
      <c r="AF236" s="449"/>
      <c r="AG236" s="449"/>
      <c r="AH236" s="449"/>
      <c r="AI236" s="449"/>
      <c r="AJ236" s="449"/>
      <c r="AK236" s="449"/>
      <c r="AL236" s="449"/>
      <c r="AM236" s="449"/>
      <c r="AN236" s="449"/>
      <c r="AO236" s="449"/>
      <c r="AP236" s="449"/>
      <c r="AR236" s="151"/>
      <c r="AS236" s="151"/>
    </row>
    <row r="237" spans="2:45" ht="20.100000000000001" customHeight="1" x14ac:dyDescent="0.4">
      <c r="B237" s="442"/>
      <c r="C237" s="450"/>
      <c r="D237" s="450"/>
      <c r="E237" s="450"/>
      <c r="F237" s="449"/>
      <c r="G237" s="449"/>
      <c r="H237" s="449"/>
      <c r="I237" s="449"/>
      <c r="J237" s="447"/>
      <c r="K237" s="448"/>
      <c r="L237" s="448"/>
      <c r="M237" s="448"/>
      <c r="N237" s="448"/>
      <c r="O237" s="448"/>
      <c r="P237" s="448"/>
      <c r="Q237" s="446"/>
      <c r="R237" s="446"/>
      <c r="S237" s="136"/>
      <c r="T237" s="137"/>
      <c r="U237" s="136"/>
      <c r="V237" s="446"/>
      <c r="W237" s="446"/>
      <c r="X237" s="447"/>
      <c r="Y237" s="448"/>
      <c r="Z237" s="448"/>
      <c r="AA237" s="448"/>
      <c r="AB237" s="448"/>
      <c r="AC237" s="448"/>
      <c r="AD237" s="448"/>
      <c r="AE237" s="449"/>
      <c r="AF237" s="449"/>
      <c r="AG237" s="449"/>
      <c r="AH237" s="449"/>
      <c r="AI237" s="446"/>
      <c r="AJ237" s="449"/>
      <c r="AK237" s="449"/>
      <c r="AL237" s="449"/>
      <c r="AM237" s="449"/>
      <c r="AN237" s="449"/>
      <c r="AO237" s="449"/>
      <c r="AP237" s="449"/>
      <c r="AR237" s="151"/>
      <c r="AS237" s="151"/>
    </row>
    <row r="238" spans="2:45" ht="20.100000000000001" customHeight="1" x14ac:dyDescent="0.4">
      <c r="B238" s="442"/>
      <c r="C238" s="450"/>
      <c r="D238" s="450"/>
      <c r="E238" s="450"/>
      <c r="F238" s="449"/>
      <c r="G238" s="449"/>
      <c r="H238" s="449"/>
      <c r="I238" s="449"/>
      <c r="J238" s="448"/>
      <c r="K238" s="448"/>
      <c r="L238" s="448"/>
      <c r="M238" s="448"/>
      <c r="N238" s="448"/>
      <c r="O238" s="448"/>
      <c r="P238" s="448"/>
      <c r="Q238" s="446"/>
      <c r="R238" s="446"/>
      <c r="S238" s="136"/>
      <c r="T238" s="137"/>
      <c r="U238" s="136"/>
      <c r="V238" s="446"/>
      <c r="W238" s="446"/>
      <c r="X238" s="448"/>
      <c r="Y238" s="448"/>
      <c r="Z238" s="448"/>
      <c r="AA238" s="448"/>
      <c r="AB238" s="448"/>
      <c r="AC238" s="448"/>
      <c r="AD238" s="448"/>
      <c r="AE238" s="449"/>
      <c r="AF238" s="449"/>
      <c r="AG238" s="449"/>
      <c r="AH238" s="449"/>
      <c r="AI238" s="449"/>
      <c r="AJ238" s="449"/>
      <c r="AK238" s="449"/>
      <c r="AL238" s="449"/>
      <c r="AM238" s="449"/>
      <c r="AN238" s="449"/>
      <c r="AO238" s="449"/>
      <c r="AP238" s="449"/>
      <c r="AR238" s="151"/>
      <c r="AS238" s="151"/>
    </row>
    <row r="239" spans="2:45" ht="20.100000000000001" customHeight="1" x14ac:dyDescent="0.4">
      <c r="B239" s="442"/>
      <c r="C239" s="450"/>
      <c r="D239" s="450"/>
      <c r="E239" s="450"/>
      <c r="F239" s="449"/>
      <c r="G239" s="449"/>
      <c r="H239" s="449"/>
      <c r="I239" s="449"/>
      <c r="J239" s="447"/>
      <c r="K239" s="448"/>
      <c r="L239" s="448"/>
      <c r="M239" s="448"/>
      <c r="N239" s="448"/>
      <c r="O239" s="448"/>
      <c r="P239" s="448"/>
      <c r="Q239" s="446"/>
      <c r="R239" s="446"/>
      <c r="S239" s="136"/>
      <c r="T239" s="137"/>
      <c r="U239" s="136"/>
      <c r="V239" s="446"/>
      <c r="W239" s="446"/>
      <c r="X239" s="447"/>
      <c r="Y239" s="448"/>
      <c r="Z239" s="448"/>
      <c r="AA239" s="448"/>
      <c r="AB239" s="448"/>
      <c r="AC239" s="448"/>
      <c r="AD239" s="448"/>
      <c r="AE239" s="449"/>
      <c r="AF239" s="449"/>
      <c r="AG239" s="449"/>
      <c r="AH239" s="449"/>
      <c r="AI239" s="446"/>
      <c r="AJ239" s="449"/>
      <c r="AK239" s="449"/>
      <c r="AL239" s="449"/>
      <c r="AM239" s="449"/>
      <c r="AN239" s="449"/>
      <c r="AO239" s="449"/>
      <c r="AP239" s="449"/>
      <c r="AR239" s="151"/>
      <c r="AS239" s="151"/>
    </row>
    <row r="240" spans="2:45" ht="20.100000000000001" customHeight="1" x14ac:dyDescent="0.4">
      <c r="B240" s="442"/>
      <c r="C240" s="450"/>
      <c r="D240" s="450"/>
      <c r="E240" s="450"/>
      <c r="F240" s="449"/>
      <c r="G240" s="449"/>
      <c r="H240" s="449"/>
      <c r="I240" s="449"/>
      <c r="J240" s="448"/>
      <c r="K240" s="448"/>
      <c r="L240" s="448"/>
      <c r="M240" s="448"/>
      <c r="N240" s="448"/>
      <c r="O240" s="448"/>
      <c r="P240" s="448"/>
      <c r="Q240" s="446"/>
      <c r="R240" s="446"/>
      <c r="S240" s="136"/>
      <c r="T240" s="137"/>
      <c r="U240" s="136"/>
      <c r="V240" s="446"/>
      <c r="W240" s="446"/>
      <c r="X240" s="448"/>
      <c r="Y240" s="448"/>
      <c r="Z240" s="448"/>
      <c r="AA240" s="448"/>
      <c r="AB240" s="448"/>
      <c r="AC240" s="448"/>
      <c r="AD240" s="448"/>
      <c r="AE240" s="449"/>
      <c r="AF240" s="449"/>
      <c r="AG240" s="449"/>
      <c r="AH240" s="449"/>
      <c r="AI240" s="449"/>
      <c r="AJ240" s="449"/>
      <c r="AK240" s="449"/>
      <c r="AL240" s="449"/>
      <c r="AM240" s="449"/>
      <c r="AN240" s="449"/>
      <c r="AO240" s="449"/>
      <c r="AP240" s="449"/>
      <c r="AR240" s="151"/>
      <c r="AS240" s="151"/>
    </row>
    <row r="241" spans="1:45" ht="20.100000000000001" customHeight="1" x14ac:dyDescent="0.4">
      <c r="B241" s="442"/>
      <c r="C241" s="450"/>
      <c r="D241" s="450"/>
      <c r="E241" s="450"/>
      <c r="F241" s="449"/>
      <c r="G241" s="449"/>
      <c r="H241" s="449"/>
      <c r="I241" s="449"/>
      <c r="J241" s="447"/>
      <c r="K241" s="448"/>
      <c r="L241" s="448"/>
      <c r="M241" s="448"/>
      <c r="N241" s="448"/>
      <c r="O241" s="448"/>
      <c r="P241" s="448"/>
      <c r="Q241" s="446"/>
      <c r="R241" s="446"/>
      <c r="S241" s="136"/>
      <c r="T241" s="137"/>
      <c r="U241" s="136"/>
      <c r="V241" s="446"/>
      <c r="W241" s="446"/>
      <c r="X241" s="447"/>
      <c r="Y241" s="448"/>
      <c r="Z241" s="448"/>
      <c r="AA241" s="448"/>
      <c r="AB241" s="448"/>
      <c r="AC241" s="448"/>
      <c r="AD241" s="448"/>
      <c r="AE241" s="449"/>
      <c r="AF241" s="449"/>
      <c r="AG241" s="449"/>
      <c r="AH241" s="449"/>
      <c r="AI241" s="446"/>
      <c r="AJ241" s="449"/>
      <c r="AK241" s="449"/>
      <c r="AL241" s="449"/>
      <c r="AM241" s="449"/>
      <c r="AN241" s="449"/>
      <c r="AO241" s="449"/>
      <c r="AP241" s="449"/>
      <c r="AR241" s="151"/>
      <c r="AS241" s="151"/>
    </row>
    <row r="242" spans="1:45" ht="20.100000000000001" customHeight="1" x14ac:dyDescent="0.4">
      <c r="B242" s="442"/>
      <c r="C242" s="450"/>
      <c r="D242" s="450"/>
      <c r="E242" s="450"/>
      <c r="F242" s="449"/>
      <c r="G242" s="449"/>
      <c r="H242" s="449"/>
      <c r="I242" s="449"/>
      <c r="J242" s="448"/>
      <c r="K242" s="448"/>
      <c r="L242" s="448"/>
      <c r="M242" s="448"/>
      <c r="N242" s="448"/>
      <c r="O242" s="448"/>
      <c r="P242" s="448"/>
      <c r="Q242" s="446"/>
      <c r="R242" s="446"/>
      <c r="S242" s="136"/>
      <c r="T242" s="137"/>
      <c r="U242" s="136"/>
      <c r="V242" s="446"/>
      <c r="W242" s="446"/>
      <c r="X242" s="448"/>
      <c r="Y242" s="448"/>
      <c r="Z242" s="448"/>
      <c r="AA242" s="448"/>
      <c r="AB242" s="448"/>
      <c r="AC242" s="448"/>
      <c r="AD242" s="448"/>
      <c r="AE242" s="449"/>
      <c r="AF242" s="449"/>
      <c r="AG242" s="449"/>
      <c r="AH242" s="449"/>
      <c r="AI242" s="449"/>
      <c r="AJ242" s="449"/>
      <c r="AK242" s="449"/>
      <c r="AL242" s="449"/>
      <c r="AM242" s="449"/>
      <c r="AN242" s="449"/>
      <c r="AO242" s="449"/>
      <c r="AP242" s="449"/>
    </row>
    <row r="243" spans="1:45" ht="15.75" customHeight="1" x14ac:dyDescent="0.4">
      <c r="A243" s="138"/>
      <c r="B243" s="139"/>
      <c r="C243" s="140"/>
      <c r="D243" s="140"/>
      <c r="E243" s="140"/>
      <c r="F243" s="139"/>
      <c r="G243" s="139"/>
      <c r="H243" s="139"/>
      <c r="I243" s="139"/>
      <c r="J243" s="139"/>
      <c r="K243" s="141"/>
      <c r="L243" s="141"/>
      <c r="M243" s="142"/>
      <c r="N243" s="143"/>
      <c r="O243" s="142"/>
      <c r="P243" s="141"/>
      <c r="Q243" s="141"/>
      <c r="R243" s="139"/>
      <c r="S243" s="139"/>
      <c r="T243" s="139"/>
      <c r="U243" s="139"/>
      <c r="V243" s="139"/>
      <c r="W243" s="144"/>
      <c r="X243" s="144"/>
      <c r="Y243" s="144"/>
      <c r="Z243" s="144"/>
      <c r="AA243" s="144"/>
      <c r="AB243" s="144"/>
      <c r="AC243" s="138"/>
    </row>
    <row r="244" spans="1:45" ht="20.25" customHeight="1" x14ac:dyDescent="0.4">
      <c r="D244" s="442" t="s">
        <v>9</v>
      </c>
      <c r="E244" s="442"/>
      <c r="F244" s="442"/>
      <c r="G244" s="442"/>
      <c r="H244" s="442"/>
      <c r="I244" s="442"/>
      <c r="J244" s="442" t="s">
        <v>5</v>
      </c>
      <c r="K244" s="442"/>
      <c r="L244" s="442"/>
      <c r="M244" s="442"/>
      <c r="N244" s="442"/>
      <c r="O244" s="442"/>
      <c r="P244" s="442"/>
      <c r="Q244" s="442"/>
      <c r="R244" s="443" t="s">
        <v>10</v>
      </c>
      <c r="S244" s="443"/>
      <c r="T244" s="443"/>
      <c r="U244" s="443"/>
      <c r="V244" s="443"/>
      <c r="W244" s="443"/>
      <c r="X244" s="443"/>
      <c r="Y244" s="443"/>
      <c r="Z244" s="443"/>
      <c r="AA244" s="444" t="s">
        <v>11</v>
      </c>
      <c r="AB244" s="444"/>
      <c r="AC244" s="444"/>
      <c r="AD244" s="444" t="s">
        <v>12</v>
      </c>
      <c r="AE244" s="444"/>
      <c r="AF244" s="444"/>
      <c r="AG244" s="444"/>
      <c r="AH244" s="444"/>
      <c r="AI244" s="444"/>
      <c r="AJ244" s="444"/>
      <c r="AK244" s="444"/>
      <c r="AL244" s="444"/>
      <c r="AM244" s="444"/>
    </row>
    <row r="245" spans="1:45" ht="30" customHeight="1" x14ac:dyDescent="0.4">
      <c r="D245" s="442" t="s">
        <v>13</v>
      </c>
      <c r="E245" s="442"/>
      <c r="F245" s="442"/>
      <c r="G245" s="442"/>
      <c r="H245" s="442"/>
      <c r="I245" s="442"/>
      <c r="J245" s="442"/>
      <c r="K245" s="442"/>
      <c r="L245" s="442"/>
      <c r="M245" s="442"/>
      <c r="N245" s="442"/>
      <c r="O245" s="442"/>
      <c r="P245" s="442"/>
      <c r="Q245" s="442"/>
      <c r="R245" s="443"/>
      <c r="S245" s="443"/>
      <c r="T245" s="443"/>
      <c r="U245" s="443"/>
      <c r="V245" s="443"/>
      <c r="W245" s="443"/>
      <c r="X245" s="443"/>
      <c r="Y245" s="443"/>
      <c r="Z245" s="443"/>
      <c r="AA245" s="445"/>
      <c r="AB245" s="445"/>
      <c r="AC245" s="445"/>
      <c r="AD245" s="441"/>
      <c r="AE245" s="441"/>
      <c r="AF245" s="441"/>
      <c r="AG245" s="441"/>
      <c r="AH245" s="441"/>
      <c r="AI245" s="441"/>
      <c r="AJ245" s="441"/>
      <c r="AK245" s="441"/>
      <c r="AL245" s="441"/>
      <c r="AM245" s="441"/>
    </row>
    <row r="246" spans="1:45" ht="30" customHeight="1" x14ac:dyDescent="0.4">
      <c r="D246" s="442" t="s">
        <v>13</v>
      </c>
      <c r="E246" s="442"/>
      <c r="F246" s="442"/>
      <c r="G246" s="442"/>
      <c r="H246" s="442"/>
      <c r="I246" s="442"/>
      <c r="J246" s="442"/>
      <c r="K246" s="442"/>
      <c r="L246" s="442"/>
      <c r="M246" s="442"/>
      <c r="N246" s="442"/>
      <c r="O246" s="442"/>
      <c r="P246" s="442"/>
      <c r="Q246" s="442"/>
      <c r="R246" s="443"/>
      <c r="S246" s="443"/>
      <c r="T246" s="443"/>
      <c r="U246" s="443"/>
      <c r="V246" s="443"/>
      <c r="W246" s="443"/>
      <c r="X246" s="443"/>
      <c r="Y246" s="443"/>
      <c r="Z246" s="443"/>
      <c r="AA246" s="444"/>
      <c r="AB246" s="444"/>
      <c r="AC246" s="444"/>
      <c r="AD246" s="441"/>
      <c r="AE246" s="441"/>
      <c r="AF246" s="441"/>
      <c r="AG246" s="441"/>
      <c r="AH246" s="441"/>
      <c r="AI246" s="441"/>
      <c r="AJ246" s="441"/>
      <c r="AK246" s="441"/>
      <c r="AL246" s="441"/>
      <c r="AM246" s="441"/>
    </row>
    <row r="247" spans="1:45" ht="30" customHeight="1" x14ac:dyDescent="0.4">
      <c r="D247" s="442" t="s">
        <v>13</v>
      </c>
      <c r="E247" s="442"/>
      <c r="F247" s="442"/>
      <c r="G247" s="442"/>
      <c r="H247" s="442"/>
      <c r="I247" s="442"/>
      <c r="J247" s="442"/>
      <c r="K247" s="442"/>
      <c r="L247" s="442"/>
      <c r="M247" s="442"/>
      <c r="N247" s="442"/>
      <c r="O247" s="442"/>
      <c r="P247" s="442"/>
      <c r="Q247" s="442"/>
      <c r="R247" s="443"/>
      <c r="S247" s="443"/>
      <c r="T247" s="443"/>
      <c r="U247" s="443"/>
      <c r="V247" s="443"/>
      <c r="W247" s="443"/>
      <c r="X247" s="443"/>
      <c r="Y247" s="443"/>
      <c r="Z247" s="443"/>
      <c r="AA247" s="444"/>
      <c r="AB247" s="444"/>
      <c r="AC247" s="444"/>
      <c r="AD247" s="441"/>
      <c r="AE247" s="441"/>
      <c r="AF247" s="441"/>
      <c r="AG247" s="441"/>
      <c r="AH247" s="441"/>
      <c r="AI247" s="441"/>
      <c r="AJ247" s="441"/>
      <c r="AK247" s="441"/>
      <c r="AL247" s="441"/>
      <c r="AM247" s="441"/>
    </row>
    <row r="248" spans="1:45" ht="30" customHeight="1" x14ac:dyDescent="0.4">
      <c r="D248" s="442" t="s">
        <v>13</v>
      </c>
      <c r="E248" s="442"/>
      <c r="F248" s="442"/>
      <c r="G248" s="442"/>
      <c r="H248" s="442"/>
      <c r="I248" s="442"/>
      <c r="J248" s="442"/>
      <c r="K248" s="442"/>
      <c r="L248" s="442"/>
      <c r="M248" s="442"/>
      <c r="N248" s="442"/>
      <c r="O248" s="442"/>
      <c r="P248" s="442"/>
      <c r="Q248" s="442"/>
      <c r="R248" s="443"/>
      <c r="S248" s="443"/>
      <c r="T248" s="443"/>
      <c r="U248" s="443"/>
      <c r="V248" s="443"/>
      <c r="W248" s="443"/>
      <c r="X248" s="443"/>
      <c r="Y248" s="443"/>
      <c r="Z248" s="443"/>
      <c r="AA248" s="444"/>
      <c r="AB248" s="444"/>
      <c r="AC248" s="444"/>
      <c r="AD248" s="441"/>
      <c r="AE248" s="441"/>
      <c r="AF248" s="441"/>
      <c r="AG248" s="441"/>
      <c r="AH248" s="441"/>
      <c r="AI248" s="441"/>
      <c r="AJ248" s="441"/>
      <c r="AK248" s="441"/>
      <c r="AL248" s="441"/>
      <c r="AM248" s="441"/>
    </row>
  </sheetData>
  <mergeCells count="954">
    <mergeCell ref="B1:AB2"/>
    <mergeCell ref="AC1:AJ2"/>
    <mergeCell ref="AK1:AO2"/>
    <mergeCell ref="AP1:AQ2"/>
    <mergeCell ref="AI237:AP238"/>
    <mergeCell ref="B239:B240"/>
    <mergeCell ref="C239:E240"/>
    <mergeCell ref="F239:I240"/>
    <mergeCell ref="J239:P240"/>
    <mergeCell ref="Q239:R240"/>
    <mergeCell ref="V239:W240"/>
    <mergeCell ref="X239:AD240"/>
    <mergeCell ref="AE239:AH240"/>
    <mergeCell ref="AI239:AP240"/>
    <mergeCell ref="AI233:AP234"/>
    <mergeCell ref="B235:B236"/>
    <mergeCell ref="C235:E236"/>
    <mergeCell ref="F235:I236"/>
    <mergeCell ref="J235:P236"/>
    <mergeCell ref="Q235:R236"/>
    <mergeCell ref="V235:W236"/>
    <mergeCell ref="X235:AD236"/>
    <mergeCell ref="AE235:AH236"/>
    <mergeCell ref="AI235:AP236"/>
    <mergeCell ref="Q233:R234"/>
    <mergeCell ref="V233:W234"/>
    <mergeCell ref="X233:AD234"/>
    <mergeCell ref="AE233:AH234"/>
    <mergeCell ref="B233:B234"/>
    <mergeCell ref="C233:E234"/>
    <mergeCell ref="F233:I234"/>
    <mergeCell ref="J233:P234"/>
    <mergeCell ref="B231:B232"/>
    <mergeCell ref="C231:E232"/>
    <mergeCell ref="F231:I232"/>
    <mergeCell ref="J231:P232"/>
    <mergeCell ref="Q231:R232"/>
    <mergeCell ref="V231:W232"/>
    <mergeCell ref="X231:AD232"/>
    <mergeCell ref="AE231:AH232"/>
    <mergeCell ref="AI231:AP232"/>
    <mergeCell ref="B229:B230"/>
    <mergeCell ref="C229:E230"/>
    <mergeCell ref="F229:I230"/>
    <mergeCell ref="J229:P230"/>
    <mergeCell ref="Q229:R230"/>
    <mergeCell ref="V229:W230"/>
    <mergeCell ref="X229:AD230"/>
    <mergeCell ref="AE229:AH230"/>
    <mergeCell ref="AI229:AP230"/>
    <mergeCell ref="C222:D222"/>
    <mergeCell ref="E222:N222"/>
    <mergeCell ref="Q222:R222"/>
    <mergeCell ref="S222:AB222"/>
    <mergeCell ref="AE222:AF222"/>
    <mergeCell ref="AG222:AP222"/>
    <mergeCell ref="T220:AB220"/>
    <mergeCell ref="F228:I228"/>
    <mergeCell ref="J228:P228"/>
    <mergeCell ref="Q228:W228"/>
    <mergeCell ref="X228:AD228"/>
    <mergeCell ref="AC220:AF220"/>
    <mergeCell ref="AG220:AL220"/>
    <mergeCell ref="E223:N223"/>
    <mergeCell ref="Q223:R223"/>
    <mergeCell ref="S223:AB223"/>
    <mergeCell ref="AE228:AH228"/>
    <mergeCell ref="AI228:AP228"/>
    <mergeCell ref="C220:F220"/>
    <mergeCell ref="G220:O220"/>
    <mergeCell ref="P220:S220"/>
    <mergeCell ref="AM220:AO220"/>
    <mergeCell ref="C228:E228"/>
    <mergeCell ref="AE223:AF223"/>
    <mergeCell ref="B125:AB126"/>
    <mergeCell ref="AC125:AJ126"/>
    <mergeCell ref="AK125:AO126"/>
    <mergeCell ref="AP125:AQ126"/>
    <mergeCell ref="AP63:AQ64"/>
    <mergeCell ref="B94:AB95"/>
    <mergeCell ref="AC94:AJ95"/>
    <mergeCell ref="AK94:AO95"/>
    <mergeCell ref="AP94:AQ95"/>
    <mergeCell ref="AD121:AM121"/>
    <mergeCell ref="D122:I122"/>
    <mergeCell ref="J122:Q122"/>
    <mergeCell ref="R122:Z122"/>
    <mergeCell ref="AA122:AC122"/>
    <mergeCell ref="AD122:AM122"/>
    <mergeCell ref="D121:I121"/>
    <mergeCell ref="J121:Q121"/>
    <mergeCell ref="R121:Z121"/>
    <mergeCell ref="AA121:AC121"/>
    <mergeCell ref="D120:I120"/>
    <mergeCell ref="J120:Q120"/>
    <mergeCell ref="R120:Z120"/>
    <mergeCell ref="AA120:AC120"/>
    <mergeCell ref="AD120:AM120"/>
    <mergeCell ref="AP187:AQ188"/>
    <mergeCell ref="B218:AB219"/>
    <mergeCell ref="AC218:AJ219"/>
    <mergeCell ref="AK218:AO219"/>
    <mergeCell ref="AP218:AQ219"/>
    <mergeCell ref="B156:AB157"/>
    <mergeCell ref="AC156:AJ157"/>
    <mergeCell ref="AK156:AO157"/>
    <mergeCell ref="AP156:AQ157"/>
    <mergeCell ref="AD216:AM216"/>
    <mergeCell ref="Q210:R211"/>
    <mergeCell ref="V210:W211"/>
    <mergeCell ref="X210:AD211"/>
    <mergeCell ref="AE210:AH211"/>
    <mergeCell ref="B210:B211"/>
    <mergeCell ref="C210:E211"/>
    <mergeCell ref="F210:I211"/>
    <mergeCell ref="J210:P211"/>
    <mergeCell ref="D214:I214"/>
    <mergeCell ref="J214:Q214"/>
    <mergeCell ref="R214:Z214"/>
    <mergeCell ref="AA214:AC214"/>
    <mergeCell ref="B208:B209"/>
    <mergeCell ref="C208:E209"/>
    <mergeCell ref="D248:I248"/>
    <mergeCell ref="J248:Q248"/>
    <mergeCell ref="R248:Z248"/>
    <mergeCell ref="AA248:AC248"/>
    <mergeCell ref="AD246:AM246"/>
    <mergeCell ref="D247:I247"/>
    <mergeCell ref="J247:Q247"/>
    <mergeCell ref="R247:Z247"/>
    <mergeCell ref="AA247:AC247"/>
    <mergeCell ref="AD247:AM247"/>
    <mergeCell ref="AD248:AM248"/>
    <mergeCell ref="AD245:AM245"/>
    <mergeCell ref="C241:E242"/>
    <mergeCell ref="F241:I242"/>
    <mergeCell ref="J241:P242"/>
    <mergeCell ref="Q241:R242"/>
    <mergeCell ref="V241:W242"/>
    <mergeCell ref="X241:AD242"/>
    <mergeCell ref="AE241:AH242"/>
    <mergeCell ref="D246:I246"/>
    <mergeCell ref="J246:Q246"/>
    <mergeCell ref="R246:Z246"/>
    <mergeCell ref="AA246:AC246"/>
    <mergeCell ref="D245:I245"/>
    <mergeCell ref="J245:Q245"/>
    <mergeCell ref="R245:Z245"/>
    <mergeCell ref="AA245:AC245"/>
    <mergeCell ref="AI241:AP242"/>
    <mergeCell ref="D244:I244"/>
    <mergeCell ref="J244:Q244"/>
    <mergeCell ref="R244:Z244"/>
    <mergeCell ref="AA244:AC244"/>
    <mergeCell ref="AD244:AM244"/>
    <mergeCell ref="B241:B242"/>
    <mergeCell ref="Q237:R238"/>
    <mergeCell ref="V237:W238"/>
    <mergeCell ref="X237:AD238"/>
    <mergeCell ref="AE237:AH238"/>
    <mergeCell ref="B237:B238"/>
    <mergeCell ref="C237:E238"/>
    <mergeCell ref="F237:I238"/>
    <mergeCell ref="J237:P238"/>
    <mergeCell ref="AG223:AP223"/>
    <mergeCell ref="C224:D224"/>
    <mergeCell ref="E224:N224"/>
    <mergeCell ref="Q224:R224"/>
    <mergeCell ref="S224:AB224"/>
    <mergeCell ref="AE224:AF224"/>
    <mergeCell ref="AG224:AP224"/>
    <mergeCell ref="C223:D223"/>
    <mergeCell ref="AI210:AP211"/>
    <mergeCell ref="D213:I213"/>
    <mergeCell ref="J213:Q213"/>
    <mergeCell ref="R213:Z213"/>
    <mergeCell ref="AA213:AC213"/>
    <mergeCell ref="AD213:AM213"/>
    <mergeCell ref="D216:I216"/>
    <mergeCell ref="J216:Q216"/>
    <mergeCell ref="R216:Z216"/>
    <mergeCell ref="AA216:AC216"/>
    <mergeCell ref="AD214:AM214"/>
    <mergeCell ref="D215:I215"/>
    <mergeCell ref="J215:Q215"/>
    <mergeCell ref="R215:Z215"/>
    <mergeCell ref="AA215:AC215"/>
    <mergeCell ref="AD215:AM215"/>
    <mergeCell ref="F208:I209"/>
    <mergeCell ref="J208:P209"/>
    <mergeCell ref="Q208:R209"/>
    <mergeCell ref="V208:W209"/>
    <mergeCell ref="X208:AD209"/>
    <mergeCell ref="AE208:AH209"/>
    <mergeCell ref="AI208:AP209"/>
    <mergeCell ref="Q206:R207"/>
    <mergeCell ref="V206:W207"/>
    <mergeCell ref="X206:AD207"/>
    <mergeCell ref="AE206:AH207"/>
    <mergeCell ref="B206:B207"/>
    <mergeCell ref="C206:E207"/>
    <mergeCell ref="F206:I207"/>
    <mergeCell ref="J206:P207"/>
    <mergeCell ref="AI206:AP207"/>
    <mergeCell ref="B204:B205"/>
    <mergeCell ref="C204:E205"/>
    <mergeCell ref="F204:I205"/>
    <mergeCell ref="J204:P205"/>
    <mergeCell ref="Q204:R205"/>
    <mergeCell ref="V204:W205"/>
    <mergeCell ref="X204:AD205"/>
    <mergeCell ref="AE204:AH205"/>
    <mergeCell ref="AI204:AP205"/>
    <mergeCell ref="Q202:R203"/>
    <mergeCell ref="V202:W203"/>
    <mergeCell ref="X202:AD203"/>
    <mergeCell ref="AE202:AH203"/>
    <mergeCell ref="B202:B203"/>
    <mergeCell ref="C202:E203"/>
    <mergeCell ref="F202:I203"/>
    <mergeCell ref="J202:P203"/>
    <mergeCell ref="AI202:AP203"/>
    <mergeCell ref="B198:B199"/>
    <mergeCell ref="C198:E199"/>
    <mergeCell ref="F198:I199"/>
    <mergeCell ref="J198:P199"/>
    <mergeCell ref="Q192:R192"/>
    <mergeCell ref="S192:AB192"/>
    <mergeCell ref="AI198:AP199"/>
    <mergeCell ref="B200:B201"/>
    <mergeCell ref="C200:E201"/>
    <mergeCell ref="F200:I201"/>
    <mergeCell ref="J200:P201"/>
    <mergeCell ref="Q200:R201"/>
    <mergeCell ref="V200:W201"/>
    <mergeCell ref="X200:AD201"/>
    <mergeCell ref="AE200:AH201"/>
    <mergeCell ref="AI200:AP201"/>
    <mergeCell ref="Q198:R199"/>
    <mergeCell ref="V198:W199"/>
    <mergeCell ref="X198:AD199"/>
    <mergeCell ref="AE198:AH199"/>
    <mergeCell ref="AE192:AF192"/>
    <mergeCell ref="AE193:AF193"/>
    <mergeCell ref="AG193:AP193"/>
    <mergeCell ref="C197:E197"/>
    <mergeCell ref="F197:I197"/>
    <mergeCell ref="J197:P197"/>
    <mergeCell ref="Q197:W197"/>
    <mergeCell ref="X197:AD197"/>
    <mergeCell ref="AE197:AH197"/>
    <mergeCell ref="AI197:AP197"/>
    <mergeCell ref="C193:D193"/>
    <mergeCell ref="E193:N193"/>
    <mergeCell ref="Q193:R193"/>
    <mergeCell ref="S193:AB193"/>
    <mergeCell ref="AC189:AF189"/>
    <mergeCell ref="AG189:AL189"/>
    <mergeCell ref="AM189:AO189"/>
    <mergeCell ref="D185:I185"/>
    <mergeCell ref="J185:Q185"/>
    <mergeCell ref="R185:Z185"/>
    <mergeCell ref="AA185:AC185"/>
    <mergeCell ref="AG192:AP192"/>
    <mergeCell ref="C191:D191"/>
    <mergeCell ref="E191:N191"/>
    <mergeCell ref="Q191:R191"/>
    <mergeCell ref="S191:AB191"/>
    <mergeCell ref="AD185:AM185"/>
    <mergeCell ref="C189:F189"/>
    <mergeCell ref="G189:O189"/>
    <mergeCell ref="P189:S189"/>
    <mergeCell ref="T189:AB189"/>
    <mergeCell ref="B187:AB188"/>
    <mergeCell ref="AC187:AJ188"/>
    <mergeCell ref="AK187:AO188"/>
    <mergeCell ref="AE191:AF191"/>
    <mergeCell ref="AG191:AP191"/>
    <mergeCell ref="C192:D192"/>
    <mergeCell ref="E192:N192"/>
    <mergeCell ref="AD183:AM183"/>
    <mergeCell ref="D184:I184"/>
    <mergeCell ref="J184:Q184"/>
    <mergeCell ref="R184:Z184"/>
    <mergeCell ref="AA184:AC184"/>
    <mergeCell ref="AD184:AM184"/>
    <mergeCell ref="D183:I183"/>
    <mergeCell ref="J183:Q183"/>
    <mergeCell ref="R183:Z183"/>
    <mergeCell ref="AA183:AC183"/>
    <mergeCell ref="D182:I182"/>
    <mergeCell ref="J182:Q182"/>
    <mergeCell ref="R182:Z182"/>
    <mergeCell ref="AA182:AC182"/>
    <mergeCell ref="AD182:AM182"/>
    <mergeCell ref="Q179:R180"/>
    <mergeCell ref="V179:W180"/>
    <mergeCell ref="X179:AD180"/>
    <mergeCell ref="AE179:AH180"/>
    <mergeCell ref="V177:W178"/>
    <mergeCell ref="X177:AD178"/>
    <mergeCell ref="AE177:AH178"/>
    <mergeCell ref="AI177:AP178"/>
    <mergeCell ref="Q175:R176"/>
    <mergeCell ref="V175:W176"/>
    <mergeCell ref="X175:AD176"/>
    <mergeCell ref="AE175:AH176"/>
    <mergeCell ref="B179:B180"/>
    <mergeCell ref="C179:E180"/>
    <mergeCell ref="F179:I180"/>
    <mergeCell ref="J179:P180"/>
    <mergeCell ref="AI175:AP176"/>
    <mergeCell ref="B177:B178"/>
    <mergeCell ref="C177:E178"/>
    <mergeCell ref="F177:I178"/>
    <mergeCell ref="J177:P178"/>
    <mergeCell ref="Q177:R178"/>
    <mergeCell ref="AI179:AP180"/>
    <mergeCell ref="V173:W174"/>
    <mergeCell ref="X173:AD174"/>
    <mergeCell ref="AE173:AH174"/>
    <mergeCell ref="AI173:AP174"/>
    <mergeCell ref="Q171:R172"/>
    <mergeCell ref="V171:W172"/>
    <mergeCell ref="X171:AD172"/>
    <mergeCell ref="AE171:AH172"/>
    <mergeCell ref="B175:B176"/>
    <mergeCell ref="C175:E176"/>
    <mergeCell ref="F175:I176"/>
    <mergeCell ref="J175:P176"/>
    <mergeCell ref="AI171:AP172"/>
    <mergeCell ref="B173:B174"/>
    <mergeCell ref="C173:E174"/>
    <mergeCell ref="F173:I174"/>
    <mergeCell ref="J173:P174"/>
    <mergeCell ref="Q173:R174"/>
    <mergeCell ref="V169:W170"/>
    <mergeCell ref="X169:AD170"/>
    <mergeCell ref="AE169:AH170"/>
    <mergeCell ref="AI169:AP170"/>
    <mergeCell ref="Q167:R168"/>
    <mergeCell ref="V167:W168"/>
    <mergeCell ref="X167:AD168"/>
    <mergeCell ref="AE167:AH168"/>
    <mergeCell ref="B171:B172"/>
    <mergeCell ref="C171:E172"/>
    <mergeCell ref="F171:I172"/>
    <mergeCell ref="J171:P172"/>
    <mergeCell ref="AI167:AP168"/>
    <mergeCell ref="B169:B170"/>
    <mergeCell ref="C169:E170"/>
    <mergeCell ref="F169:I170"/>
    <mergeCell ref="J169:P170"/>
    <mergeCell ref="Q169:R170"/>
    <mergeCell ref="B167:B168"/>
    <mergeCell ref="C167:E168"/>
    <mergeCell ref="F167:I168"/>
    <mergeCell ref="J167:P168"/>
    <mergeCell ref="X166:AD166"/>
    <mergeCell ref="AE166:AH166"/>
    <mergeCell ref="AI166:AP166"/>
    <mergeCell ref="C162:D162"/>
    <mergeCell ref="E162:N162"/>
    <mergeCell ref="Q162:R162"/>
    <mergeCell ref="S162:AB162"/>
    <mergeCell ref="Q160:R160"/>
    <mergeCell ref="S160:AB160"/>
    <mergeCell ref="AE162:AF162"/>
    <mergeCell ref="AG162:AP162"/>
    <mergeCell ref="C166:E166"/>
    <mergeCell ref="F166:I166"/>
    <mergeCell ref="J166:P166"/>
    <mergeCell ref="Q166:W166"/>
    <mergeCell ref="C161:D161"/>
    <mergeCell ref="E161:N161"/>
    <mergeCell ref="Q161:R161"/>
    <mergeCell ref="S161:AB161"/>
    <mergeCell ref="AE161:AF161"/>
    <mergeCell ref="AG161:AP161"/>
    <mergeCell ref="C158:F158"/>
    <mergeCell ref="G158:O158"/>
    <mergeCell ref="P158:S158"/>
    <mergeCell ref="T158:AB158"/>
    <mergeCell ref="AC158:AF158"/>
    <mergeCell ref="AG158:AL158"/>
    <mergeCell ref="AM158:AO158"/>
    <mergeCell ref="AE160:AF160"/>
    <mergeCell ref="AG160:AP160"/>
    <mergeCell ref="C160:D160"/>
    <mergeCell ref="E160:N160"/>
    <mergeCell ref="AI148:AP149"/>
    <mergeCell ref="D151:I151"/>
    <mergeCell ref="J151:Q151"/>
    <mergeCell ref="R151:Z151"/>
    <mergeCell ref="AA151:AC151"/>
    <mergeCell ref="AD151:AM151"/>
    <mergeCell ref="D154:I154"/>
    <mergeCell ref="J154:Q154"/>
    <mergeCell ref="R154:Z154"/>
    <mergeCell ref="AA154:AC154"/>
    <mergeCell ref="AD152:AM152"/>
    <mergeCell ref="D153:I153"/>
    <mergeCell ref="J153:Q153"/>
    <mergeCell ref="R153:Z153"/>
    <mergeCell ref="AA153:AC153"/>
    <mergeCell ref="AD153:AM153"/>
    <mergeCell ref="Q148:R149"/>
    <mergeCell ref="V148:W149"/>
    <mergeCell ref="X148:AD149"/>
    <mergeCell ref="AE148:AH149"/>
    <mergeCell ref="AD154:AM154"/>
    <mergeCell ref="B148:B149"/>
    <mergeCell ref="C148:E149"/>
    <mergeCell ref="F148:I149"/>
    <mergeCell ref="J148:P149"/>
    <mergeCell ref="D152:I152"/>
    <mergeCell ref="J152:Q152"/>
    <mergeCell ref="R152:Z152"/>
    <mergeCell ref="AA152:AC152"/>
    <mergeCell ref="B146:B147"/>
    <mergeCell ref="C146:E147"/>
    <mergeCell ref="F146:I147"/>
    <mergeCell ref="J146:P147"/>
    <mergeCell ref="Q146:R147"/>
    <mergeCell ref="V146:W147"/>
    <mergeCell ref="X146:AD147"/>
    <mergeCell ref="AE146:AH147"/>
    <mergeCell ref="AI146:AP147"/>
    <mergeCell ref="Q144:R145"/>
    <mergeCell ref="V144:W145"/>
    <mergeCell ref="X144:AD145"/>
    <mergeCell ref="AE144:AH145"/>
    <mergeCell ref="B144:B145"/>
    <mergeCell ref="C144:E145"/>
    <mergeCell ref="F144:I145"/>
    <mergeCell ref="J144:P145"/>
    <mergeCell ref="AI144:AP145"/>
    <mergeCell ref="B142:B143"/>
    <mergeCell ref="C142:E143"/>
    <mergeCell ref="F142:I143"/>
    <mergeCell ref="J142:P143"/>
    <mergeCell ref="Q142:R143"/>
    <mergeCell ref="V142:W143"/>
    <mergeCell ref="X142:AD143"/>
    <mergeCell ref="AE142:AH143"/>
    <mergeCell ref="AI142:AP143"/>
    <mergeCell ref="Q140:R141"/>
    <mergeCell ref="V140:W141"/>
    <mergeCell ref="X140:AD141"/>
    <mergeCell ref="AE140:AH141"/>
    <mergeCell ref="B140:B141"/>
    <mergeCell ref="C140:E141"/>
    <mergeCell ref="F140:I141"/>
    <mergeCell ref="J140:P141"/>
    <mergeCell ref="AI140:AP141"/>
    <mergeCell ref="B138:B139"/>
    <mergeCell ref="C138:E139"/>
    <mergeCell ref="F138:I139"/>
    <mergeCell ref="J138:P139"/>
    <mergeCell ref="Q138:R139"/>
    <mergeCell ref="V138:W139"/>
    <mergeCell ref="X138:AD139"/>
    <mergeCell ref="AE138:AH139"/>
    <mergeCell ref="AI138:AP139"/>
    <mergeCell ref="E131:N131"/>
    <mergeCell ref="Q131:R131"/>
    <mergeCell ref="S131:AB131"/>
    <mergeCell ref="B136:B137"/>
    <mergeCell ref="C136:E137"/>
    <mergeCell ref="F136:I137"/>
    <mergeCell ref="J136:P137"/>
    <mergeCell ref="AE131:AF131"/>
    <mergeCell ref="AG131:AP131"/>
    <mergeCell ref="C135:E135"/>
    <mergeCell ref="F135:I135"/>
    <mergeCell ref="J135:P135"/>
    <mergeCell ref="Q135:W135"/>
    <mergeCell ref="X135:AD135"/>
    <mergeCell ref="AE135:AH135"/>
    <mergeCell ref="AI135:AP135"/>
    <mergeCell ref="C131:D131"/>
    <mergeCell ref="AI136:AP137"/>
    <mergeCell ref="Q136:R137"/>
    <mergeCell ref="V136:W137"/>
    <mergeCell ref="X136:AD137"/>
    <mergeCell ref="AE136:AH137"/>
    <mergeCell ref="AC127:AF127"/>
    <mergeCell ref="AG127:AL127"/>
    <mergeCell ref="AM127:AO127"/>
    <mergeCell ref="D123:I123"/>
    <mergeCell ref="J123:Q123"/>
    <mergeCell ref="R123:Z123"/>
    <mergeCell ref="AA123:AC123"/>
    <mergeCell ref="AG130:AP130"/>
    <mergeCell ref="C129:D129"/>
    <mergeCell ref="E129:N129"/>
    <mergeCell ref="Q129:R129"/>
    <mergeCell ref="S129:AB129"/>
    <mergeCell ref="AD123:AM123"/>
    <mergeCell ref="C127:F127"/>
    <mergeCell ref="G127:O127"/>
    <mergeCell ref="P127:S127"/>
    <mergeCell ref="T127:AB127"/>
    <mergeCell ref="AE129:AF129"/>
    <mergeCell ref="AG129:AP129"/>
    <mergeCell ref="C130:D130"/>
    <mergeCell ref="E130:N130"/>
    <mergeCell ref="Q130:R130"/>
    <mergeCell ref="S130:AB130"/>
    <mergeCell ref="AE130:AF130"/>
    <mergeCell ref="B117:B118"/>
    <mergeCell ref="C117:E118"/>
    <mergeCell ref="F117:I118"/>
    <mergeCell ref="J117:P118"/>
    <mergeCell ref="AI113:AP114"/>
    <mergeCell ref="B115:B116"/>
    <mergeCell ref="C115:E116"/>
    <mergeCell ref="F115:I116"/>
    <mergeCell ref="J115:P116"/>
    <mergeCell ref="Q115:R116"/>
    <mergeCell ref="AI117:AP118"/>
    <mergeCell ref="Q117:R118"/>
    <mergeCell ref="V117:W118"/>
    <mergeCell ref="X117:AD118"/>
    <mergeCell ref="AE117:AH118"/>
    <mergeCell ref="V115:W116"/>
    <mergeCell ref="X115:AD116"/>
    <mergeCell ref="AE115:AH116"/>
    <mergeCell ref="AI115:AP116"/>
    <mergeCell ref="Q113:R114"/>
    <mergeCell ref="V113:W114"/>
    <mergeCell ref="X113:AD114"/>
    <mergeCell ref="AE113:AH114"/>
    <mergeCell ref="V111:W112"/>
    <mergeCell ref="X111:AD112"/>
    <mergeCell ref="AE111:AH112"/>
    <mergeCell ref="AI111:AP112"/>
    <mergeCell ref="Q109:R110"/>
    <mergeCell ref="V109:W110"/>
    <mergeCell ref="X109:AD110"/>
    <mergeCell ref="AE109:AH110"/>
    <mergeCell ref="B113:B114"/>
    <mergeCell ref="C113:E114"/>
    <mergeCell ref="F113:I114"/>
    <mergeCell ref="J113:P114"/>
    <mergeCell ref="AI109:AP110"/>
    <mergeCell ref="B111:B112"/>
    <mergeCell ref="C111:E112"/>
    <mergeCell ref="F111:I112"/>
    <mergeCell ref="J111:P112"/>
    <mergeCell ref="Q111:R112"/>
    <mergeCell ref="V107:W108"/>
    <mergeCell ref="X107:AD108"/>
    <mergeCell ref="AE107:AH108"/>
    <mergeCell ref="AI107:AP108"/>
    <mergeCell ref="Q105:R106"/>
    <mergeCell ref="V105:W106"/>
    <mergeCell ref="X105:AD106"/>
    <mergeCell ref="AE105:AH106"/>
    <mergeCell ref="B109:B110"/>
    <mergeCell ref="C109:E110"/>
    <mergeCell ref="F109:I110"/>
    <mergeCell ref="J109:P110"/>
    <mergeCell ref="AI105:AP106"/>
    <mergeCell ref="B107:B108"/>
    <mergeCell ref="C107:E108"/>
    <mergeCell ref="F107:I108"/>
    <mergeCell ref="J107:P108"/>
    <mergeCell ref="Q107:R108"/>
    <mergeCell ref="B105:B106"/>
    <mergeCell ref="C105:E106"/>
    <mergeCell ref="F105:I106"/>
    <mergeCell ref="J105:P106"/>
    <mergeCell ref="X104:AD104"/>
    <mergeCell ref="AE104:AH104"/>
    <mergeCell ref="AI104:AP104"/>
    <mergeCell ref="C100:D100"/>
    <mergeCell ref="E100:N100"/>
    <mergeCell ref="Q100:R100"/>
    <mergeCell ref="S100:AB100"/>
    <mergeCell ref="Q98:R98"/>
    <mergeCell ref="S98:AB98"/>
    <mergeCell ref="AE100:AF100"/>
    <mergeCell ref="AG100:AP100"/>
    <mergeCell ref="C104:E104"/>
    <mergeCell ref="F104:I104"/>
    <mergeCell ref="J104:P104"/>
    <mergeCell ref="Q104:W104"/>
    <mergeCell ref="C99:D99"/>
    <mergeCell ref="E99:N99"/>
    <mergeCell ref="Q99:R99"/>
    <mergeCell ref="S99:AB99"/>
    <mergeCell ref="AE99:AF99"/>
    <mergeCell ref="AG99:AP99"/>
    <mergeCell ref="C96:F96"/>
    <mergeCell ref="G96:O96"/>
    <mergeCell ref="P96:S96"/>
    <mergeCell ref="T96:AB96"/>
    <mergeCell ref="AC96:AF96"/>
    <mergeCell ref="AG96:AL96"/>
    <mergeCell ref="AM96:AO96"/>
    <mergeCell ref="AE98:AF98"/>
    <mergeCell ref="AG98:AP98"/>
    <mergeCell ref="C98:D98"/>
    <mergeCell ref="E98:N98"/>
    <mergeCell ref="AI86:AP87"/>
    <mergeCell ref="D89:I89"/>
    <mergeCell ref="J89:Q89"/>
    <mergeCell ref="R89:Z89"/>
    <mergeCell ref="AA89:AC89"/>
    <mergeCell ref="AD89:AM89"/>
    <mergeCell ref="D92:I92"/>
    <mergeCell ref="J92:Q92"/>
    <mergeCell ref="R92:Z92"/>
    <mergeCell ref="AA92:AC92"/>
    <mergeCell ref="AD90:AM90"/>
    <mergeCell ref="D91:I91"/>
    <mergeCell ref="J91:Q91"/>
    <mergeCell ref="R91:Z91"/>
    <mergeCell ref="AA91:AC91"/>
    <mergeCell ref="AD91:AM91"/>
    <mergeCell ref="Q86:R87"/>
    <mergeCell ref="V86:W87"/>
    <mergeCell ref="X86:AD87"/>
    <mergeCell ref="AE86:AH87"/>
    <mergeCell ref="AD92:AM92"/>
    <mergeCell ref="B86:B87"/>
    <mergeCell ref="C86:E87"/>
    <mergeCell ref="F86:I87"/>
    <mergeCell ref="J86:P87"/>
    <mergeCell ref="D90:I90"/>
    <mergeCell ref="J90:Q90"/>
    <mergeCell ref="R90:Z90"/>
    <mergeCell ref="AA90:AC90"/>
    <mergeCell ref="B84:B85"/>
    <mergeCell ref="C84:E85"/>
    <mergeCell ref="F84:I85"/>
    <mergeCell ref="J84:P85"/>
    <mergeCell ref="Q84:R85"/>
    <mergeCell ref="V84:W85"/>
    <mergeCell ref="X84:AD85"/>
    <mergeCell ref="AE84:AH85"/>
    <mergeCell ref="AI84:AP85"/>
    <mergeCell ref="Q82:R83"/>
    <mergeCell ref="V82:W83"/>
    <mergeCell ref="X82:AD83"/>
    <mergeCell ref="AE82:AH83"/>
    <mergeCell ref="B82:B83"/>
    <mergeCell ref="C82:E83"/>
    <mergeCell ref="F82:I83"/>
    <mergeCell ref="J82:P83"/>
    <mergeCell ref="AI82:AP83"/>
    <mergeCell ref="B80:B81"/>
    <mergeCell ref="C80:E81"/>
    <mergeCell ref="F80:I81"/>
    <mergeCell ref="J80:P81"/>
    <mergeCell ref="Q80:R81"/>
    <mergeCell ref="V80:W81"/>
    <mergeCell ref="X80:AD81"/>
    <mergeCell ref="AE80:AH81"/>
    <mergeCell ref="AI80:AP81"/>
    <mergeCell ref="Q78:R79"/>
    <mergeCell ref="V78:W79"/>
    <mergeCell ref="X78:AD79"/>
    <mergeCell ref="AE78:AH79"/>
    <mergeCell ref="B78:B79"/>
    <mergeCell ref="C78:E79"/>
    <mergeCell ref="F78:I79"/>
    <mergeCell ref="J78:P79"/>
    <mergeCell ref="AI78:AP79"/>
    <mergeCell ref="B74:B75"/>
    <mergeCell ref="C74:E75"/>
    <mergeCell ref="F74:I75"/>
    <mergeCell ref="J74:P75"/>
    <mergeCell ref="AI74:AP75"/>
    <mergeCell ref="B76:B77"/>
    <mergeCell ref="C76:E77"/>
    <mergeCell ref="F76:I77"/>
    <mergeCell ref="J76:P77"/>
    <mergeCell ref="Q76:R77"/>
    <mergeCell ref="V76:W77"/>
    <mergeCell ref="X76:AD77"/>
    <mergeCell ref="AE76:AH77"/>
    <mergeCell ref="AI76:AP77"/>
    <mergeCell ref="C73:E73"/>
    <mergeCell ref="F73:I73"/>
    <mergeCell ref="J73:P73"/>
    <mergeCell ref="Q73:W73"/>
    <mergeCell ref="X73:AD73"/>
    <mergeCell ref="AE73:AH73"/>
    <mergeCell ref="AI73:AP73"/>
    <mergeCell ref="C69:D69"/>
    <mergeCell ref="Q74:R75"/>
    <mergeCell ref="V74:W75"/>
    <mergeCell ref="X74:AD75"/>
    <mergeCell ref="AE74:AH75"/>
    <mergeCell ref="E69:N69"/>
    <mergeCell ref="Q69:R69"/>
    <mergeCell ref="S69:AB69"/>
    <mergeCell ref="AE67:AF67"/>
    <mergeCell ref="AG67:AP67"/>
    <mergeCell ref="C68:D68"/>
    <mergeCell ref="E68:N68"/>
    <mergeCell ref="Q68:R68"/>
    <mergeCell ref="S68:AB68"/>
    <mergeCell ref="AE68:AF68"/>
    <mergeCell ref="AE69:AF69"/>
    <mergeCell ref="AG69:AP69"/>
    <mergeCell ref="C3:F3"/>
    <mergeCell ref="G3:O3"/>
    <mergeCell ref="P3:S3"/>
    <mergeCell ref="T3:AB3"/>
    <mergeCell ref="AC3:AF3"/>
    <mergeCell ref="AG3:AL3"/>
    <mergeCell ref="AM3:AO3"/>
    <mergeCell ref="AG68:AP68"/>
    <mergeCell ref="C67:D67"/>
    <mergeCell ref="E67:N67"/>
    <mergeCell ref="Q67:R67"/>
    <mergeCell ref="S67:AB67"/>
    <mergeCell ref="C65:F65"/>
    <mergeCell ref="G65:O65"/>
    <mergeCell ref="P65:S65"/>
    <mergeCell ref="T65:AB65"/>
    <mergeCell ref="AC65:AF65"/>
    <mergeCell ref="B63:AB64"/>
    <mergeCell ref="AC63:AJ64"/>
    <mergeCell ref="AK63:AO64"/>
    <mergeCell ref="C5:D5"/>
    <mergeCell ref="E5:N5"/>
    <mergeCell ref="Q5:R5"/>
    <mergeCell ref="S5:AB5"/>
    <mergeCell ref="AE5:AF5"/>
    <mergeCell ref="AG5:AP5"/>
    <mergeCell ref="C6:D6"/>
    <mergeCell ref="E6:N6"/>
    <mergeCell ref="AG65:AL65"/>
    <mergeCell ref="AM65:AO65"/>
    <mergeCell ref="Q6:R6"/>
    <mergeCell ref="S6:AB6"/>
    <mergeCell ref="AE12:AH13"/>
    <mergeCell ref="AI12:AP13"/>
    <mergeCell ref="C7:D7"/>
    <mergeCell ref="E7:N7"/>
    <mergeCell ref="Q7:R7"/>
    <mergeCell ref="S7:AB7"/>
    <mergeCell ref="AE7:AF7"/>
    <mergeCell ref="AG7:AP7"/>
    <mergeCell ref="AE6:AF6"/>
    <mergeCell ref="AG6:AP6"/>
    <mergeCell ref="AI11:AP11"/>
    <mergeCell ref="AE11:AH11"/>
    <mergeCell ref="Q16:R17"/>
    <mergeCell ref="V16:W17"/>
    <mergeCell ref="X16:AD17"/>
    <mergeCell ref="AE16:AH17"/>
    <mergeCell ref="B12:B13"/>
    <mergeCell ref="C12:E13"/>
    <mergeCell ref="F12:I13"/>
    <mergeCell ref="J12:P13"/>
    <mergeCell ref="Q12:R13"/>
    <mergeCell ref="V12:W13"/>
    <mergeCell ref="X12:AD13"/>
    <mergeCell ref="C11:E11"/>
    <mergeCell ref="F11:I11"/>
    <mergeCell ref="J11:P11"/>
    <mergeCell ref="Q11:W11"/>
    <mergeCell ref="X11:AD11"/>
    <mergeCell ref="B14:B15"/>
    <mergeCell ref="C14:E15"/>
    <mergeCell ref="F14:I15"/>
    <mergeCell ref="J14:P15"/>
    <mergeCell ref="Q14:R15"/>
    <mergeCell ref="V14:W15"/>
    <mergeCell ref="X14:AD15"/>
    <mergeCell ref="AE14:AH15"/>
    <mergeCell ref="AI14:AP15"/>
    <mergeCell ref="B16:B17"/>
    <mergeCell ref="C16:E17"/>
    <mergeCell ref="F16:I17"/>
    <mergeCell ref="J16:P17"/>
    <mergeCell ref="AI16:AP17"/>
    <mergeCell ref="AI18:AP19"/>
    <mergeCell ref="B20:B21"/>
    <mergeCell ref="C20:E21"/>
    <mergeCell ref="F20:I21"/>
    <mergeCell ref="J20:P21"/>
    <mergeCell ref="Q20:R21"/>
    <mergeCell ref="V20:W21"/>
    <mergeCell ref="X20:AD21"/>
    <mergeCell ref="Q18:R19"/>
    <mergeCell ref="V18:W19"/>
    <mergeCell ref="AE20:AH21"/>
    <mergeCell ref="AI20:AP21"/>
    <mergeCell ref="B18:B19"/>
    <mergeCell ref="C18:E19"/>
    <mergeCell ref="F18:I19"/>
    <mergeCell ref="J18:P19"/>
    <mergeCell ref="X18:AD19"/>
    <mergeCell ref="AE18:AH19"/>
    <mergeCell ref="B22:B23"/>
    <mergeCell ref="C22:E23"/>
    <mergeCell ref="F22:I23"/>
    <mergeCell ref="J22:P23"/>
    <mergeCell ref="Q22:R23"/>
    <mergeCell ref="V22:W23"/>
    <mergeCell ref="X22:AD23"/>
    <mergeCell ref="AE22:AH23"/>
    <mergeCell ref="AI22:AP23"/>
    <mergeCell ref="Q24:R25"/>
    <mergeCell ref="V24:W25"/>
    <mergeCell ref="X24:AD25"/>
    <mergeCell ref="AE24:AH25"/>
    <mergeCell ref="B24:B25"/>
    <mergeCell ref="C24:E25"/>
    <mergeCell ref="F24:I25"/>
    <mergeCell ref="J24:P25"/>
    <mergeCell ref="AI24:AP25"/>
    <mergeCell ref="AD27:AM27"/>
    <mergeCell ref="D28:I28"/>
    <mergeCell ref="J28:Q28"/>
    <mergeCell ref="R28:Z28"/>
    <mergeCell ref="AA28:AC28"/>
    <mergeCell ref="AD28:AM28"/>
    <mergeCell ref="D27:I27"/>
    <mergeCell ref="J27:Q27"/>
    <mergeCell ref="R27:Z27"/>
    <mergeCell ref="AA27:AC27"/>
    <mergeCell ref="AD29:AM29"/>
    <mergeCell ref="D30:I30"/>
    <mergeCell ref="J30:Q30"/>
    <mergeCell ref="R30:Z30"/>
    <mergeCell ref="AA30:AC30"/>
    <mergeCell ref="AD30:AM30"/>
    <mergeCell ref="D29:I29"/>
    <mergeCell ref="J29:Q29"/>
    <mergeCell ref="R29:Z29"/>
    <mergeCell ref="AA29:AC29"/>
    <mergeCell ref="C36:D36"/>
    <mergeCell ref="E36:N36"/>
    <mergeCell ref="Q36:R36"/>
    <mergeCell ref="S36:AB36"/>
    <mergeCell ref="AE36:AF36"/>
    <mergeCell ref="AG36:AP36"/>
    <mergeCell ref="C37:D37"/>
    <mergeCell ref="E37:N37"/>
    <mergeCell ref="A31:AQ32"/>
    <mergeCell ref="C34:F34"/>
    <mergeCell ref="G34:O34"/>
    <mergeCell ref="P34:S34"/>
    <mergeCell ref="T34:AB34"/>
    <mergeCell ref="AC34:AF34"/>
    <mergeCell ref="AG34:AL34"/>
    <mergeCell ref="AM34:AO34"/>
    <mergeCell ref="Q37:R37"/>
    <mergeCell ref="S37:AB37"/>
    <mergeCell ref="AE43:AH44"/>
    <mergeCell ref="AI43:AP44"/>
    <mergeCell ref="C38:D38"/>
    <mergeCell ref="E38:N38"/>
    <mergeCell ref="Q38:R38"/>
    <mergeCell ref="S38:AB38"/>
    <mergeCell ref="AE38:AF38"/>
    <mergeCell ref="AG38:AP38"/>
    <mergeCell ref="AE37:AF37"/>
    <mergeCell ref="AG37:AP37"/>
    <mergeCell ref="AI42:AP42"/>
    <mergeCell ref="AE42:AH42"/>
    <mergeCell ref="B43:B44"/>
    <mergeCell ref="C43:E44"/>
    <mergeCell ref="F43:I44"/>
    <mergeCell ref="J43:P44"/>
    <mergeCell ref="Q43:R44"/>
    <mergeCell ref="V43:W44"/>
    <mergeCell ref="X43:AD44"/>
    <mergeCell ref="C42:E42"/>
    <mergeCell ref="F42:I42"/>
    <mergeCell ref="J42:P42"/>
    <mergeCell ref="Q42:W42"/>
    <mergeCell ref="X42:AD42"/>
    <mergeCell ref="B45:B46"/>
    <mergeCell ref="C45:E46"/>
    <mergeCell ref="F45:I46"/>
    <mergeCell ref="J45:P46"/>
    <mergeCell ref="Q45:R46"/>
    <mergeCell ref="V45:W46"/>
    <mergeCell ref="X45:AD46"/>
    <mergeCell ref="AE45:AH46"/>
    <mergeCell ref="AI45:AP46"/>
    <mergeCell ref="Q47:R48"/>
    <mergeCell ref="V47:W48"/>
    <mergeCell ref="X47:AD48"/>
    <mergeCell ref="AE47:AH48"/>
    <mergeCell ref="B47:B48"/>
    <mergeCell ref="C47:E48"/>
    <mergeCell ref="F47:I48"/>
    <mergeCell ref="J47:P48"/>
    <mergeCell ref="AI47:AP48"/>
    <mergeCell ref="AI49:AP50"/>
    <mergeCell ref="B51:B52"/>
    <mergeCell ref="C51:E52"/>
    <mergeCell ref="F51:I52"/>
    <mergeCell ref="J51:P52"/>
    <mergeCell ref="Q51:R52"/>
    <mergeCell ref="V51:W52"/>
    <mergeCell ref="X51:AD52"/>
    <mergeCell ref="Q49:R50"/>
    <mergeCell ref="V49:W50"/>
    <mergeCell ref="AE51:AH52"/>
    <mergeCell ref="AI51:AP52"/>
    <mergeCell ref="B49:B50"/>
    <mergeCell ref="C49:E50"/>
    <mergeCell ref="F49:I50"/>
    <mergeCell ref="J49:P50"/>
    <mergeCell ref="X49:AD50"/>
    <mergeCell ref="AE49:AH50"/>
    <mergeCell ref="B53:B54"/>
    <mergeCell ref="C53:E54"/>
    <mergeCell ref="F53:I54"/>
    <mergeCell ref="J53:P54"/>
    <mergeCell ref="Q53:R54"/>
    <mergeCell ref="V53:W54"/>
    <mergeCell ref="X53:AD54"/>
    <mergeCell ref="AE53:AH54"/>
    <mergeCell ref="AI53:AP54"/>
    <mergeCell ref="Q55:R56"/>
    <mergeCell ref="V55:W56"/>
    <mergeCell ref="X55:AD56"/>
    <mergeCell ref="AE55:AH56"/>
    <mergeCell ref="B55:B56"/>
    <mergeCell ref="C55:E56"/>
    <mergeCell ref="F55:I56"/>
    <mergeCell ref="J55:P56"/>
    <mergeCell ref="AI55:AP56"/>
    <mergeCell ref="AD58:AM58"/>
    <mergeCell ref="D59:I59"/>
    <mergeCell ref="J59:Q59"/>
    <mergeCell ref="R59:Z59"/>
    <mergeCell ref="AA59:AC59"/>
    <mergeCell ref="AD59:AM59"/>
    <mergeCell ref="D58:I58"/>
    <mergeCell ref="J58:Q58"/>
    <mergeCell ref="R58:Z58"/>
    <mergeCell ref="AA58:AC58"/>
    <mergeCell ref="AD60:AM60"/>
    <mergeCell ref="D61:I61"/>
    <mergeCell ref="J61:Q61"/>
    <mergeCell ref="R61:Z61"/>
    <mergeCell ref="AA61:AC61"/>
    <mergeCell ref="AD61:AM61"/>
    <mergeCell ref="D60:I60"/>
    <mergeCell ref="J60:Q60"/>
    <mergeCell ref="R60:Z60"/>
    <mergeCell ref="AA60:AC60"/>
  </mergeCells>
  <phoneticPr fontId="16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pageOrder="overThenDown" orientation="landscape" horizontalDpi="300" verticalDpi="300" r:id="rId1"/>
  <rowBreaks count="7" manualBreakCount="7">
    <brk id="30" max="42" man="1"/>
    <brk id="62" max="42" man="1"/>
    <brk id="92" max="42" man="1"/>
    <brk id="123" max="42" man="1"/>
    <brk id="154" max="42" man="1"/>
    <brk id="185" max="42" man="1"/>
    <brk id="216" max="4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89"/>
  <sheetViews>
    <sheetView zoomScaleNormal="100" zoomScaleSheetLayoutView="75" workbookViewId="0">
      <pane xSplit="46" ySplit="2" topLeftCell="AU3" activePane="bottomRight" state="frozen"/>
      <selection pane="topRight" activeCell="AU1" sqref="AU1"/>
      <selection pane="bottomLeft" activeCell="A3" sqref="A3"/>
      <selection pane="bottomRight" activeCell="AU6" sqref="AU6"/>
    </sheetView>
  </sheetViews>
  <sheetFormatPr defaultRowHeight="15.75" x14ac:dyDescent="0.4"/>
  <cols>
    <col min="1" max="1" width="3.125" style="134" customWidth="1"/>
    <col min="2" max="2" width="5" style="134" customWidth="1"/>
    <col min="3" max="4" width="3.125" style="134" customWidth="1"/>
    <col min="5" max="5" width="4.5" style="134" customWidth="1"/>
    <col min="6" max="43" width="3.125" style="134" customWidth="1"/>
    <col min="44" max="44" width="9.125" style="134" hidden="1" customWidth="1"/>
    <col min="45" max="45" width="7.5" style="134" hidden="1" customWidth="1"/>
    <col min="46" max="46" width="9" style="134" hidden="1" customWidth="1"/>
    <col min="47" max="47" width="9" style="134" customWidth="1"/>
    <col min="48" max="16384" width="9" style="134"/>
  </cols>
  <sheetData>
    <row r="1" spans="1:45" ht="25.5" customHeight="1" x14ac:dyDescent="0.4">
      <c r="A1" s="227"/>
      <c r="B1" s="493" t="str">
        <f>U10組合せ!$B$1</f>
        <v>ＪＦＡ　Ｕ-１０サッカーリーグ2021（in栃木） 宇都宮地区リーグ戦（前期）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0" t="str">
        <f>"【"&amp;(U10組合せ!$F$3)&amp;"】"</f>
        <v>【Ｂ ブロック】</v>
      </c>
      <c r="AD1" s="490"/>
      <c r="AE1" s="490"/>
      <c r="AF1" s="490"/>
      <c r="AG1" s="490"/>
      <c r="AH1" s="490"/>
      <c r="AI1" s="490"/>
      <c r="AJ1" s="490"/>
      <c r="AK1" s="495" t="str">
        <f>"第"&amp;(U10組合せ!$D$19)</f>
        <v>第１節</v>
      </c>
      <c r="AL1" s="495"/>
      <c r="AM1" s="495"/>
      <c r="AN1" s="495"/>
      <c r="AO1" s="495"/>
      <c r="AP1" s="496" t="s">
        <v>195</v>
      </c>
      <c r="AQ1" s="497"/>
    </row>
    <row r="2" spans="1:45" ht="25.5" customHeight="1" x14ac:dyDescent="0.4">
      <c r="A2" s="227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4"/>
      <c r="AD2" s="494"/>
      <c r="AE2" s="494"/>
      <c r="AF2" s="494"/>
      <c r="AG2" s="494"/>
      <c r="AH2" s="494"/>
      <c r="AI2" s="494"/>
      <c r="AJ2" s="494"/>
      <c r="AK2" s="494"/>
      <c r="AL2" s="494"/>
      <c r="AM2" s="494"/>
      <c r="AN2" s="494"/>
      <c r="AO2" s="490"/>
      <c r="AP2" s="497"/>
      <c r="AQ2" s="497"/>
    </row>
    <row r="3" spans="1:45" ht="27.75" customHeight="1" x14ac:dyDescent="0.4">
      <c r="C3" s="477" t="s">
        <v>1</v>
      </c>
      <c r="D3" s="477"/>
      <c r="E3" s="477"/>
      <c r="F3" s="477"/>
      <c r="G3" s="478" t="str">
        <f>U10組合せ!G19</f>
        <v>石井 6 AM</v>
      </c>
      <c r="H3" s="479"/>
      <c r="I3" s="479"/>
      <c r="J3" s="479"/>
      <c r="K3" s="479"/>
      <c r="L3" s="479"/>
      <c r="M3" s="479"/>
      <c r="N3" s="479"/>
      <c r="O3" s="480"/>
      <c r="P3" s="477" t="s">
        <v>0</v>
      </c>
      <c r="Q3" s="477"/>
      <c r="R3" s="477"/>
      <c r="S3" s="477"/>
      <c r="T3" s="481" t="str">
        <f ca="1">X14</f>
        <v>FCアネーロ・U-10</v>
      </c>
      <c r="U3" s="481"/>
      <c r="V3" s="481"/>
      <c r="W3" s="481"/>
      <c r="X3" s="481"/>
      <c r="Y3" s="481"/>
      <c r="Z3" s="481"/>
      <c r="AA3" s="481"/>
      <c r="AB3" s="481"/>
      <c r="AC3" s="477" t="s">
        <v>2</v>
      </c>
      <c r="AD3" s="477"/>
      <c r="AE3" s="477"/>
      <c r="AF3" s="477"/>
      <c r="AG3" s="482">
        <f>U10組合せ!B19</f>
        <v>44296</v>
      </c>
      <c r="AH3" s="483"/>
      <c r="AI3" s="483"/>
      <c r="AJ3" s="483"/>
      <c r="AK3" s="483"/>
      <c r="AL3" s="483"/>
      <c r="AM3" s="484" t="str">
        <f>"（"&amp;TEXT(AG3,"aaa")&amp;"）"</f>
        <v>（土）</v>
      </c>
      <c r="AN3" s="484"/>
      <c r="AO3" s="485"/>
      <c r="AP3" s="236"/>
    </row>
    <row r="4" spans="1:45" ht="15" customHeight="1" x14ac:dyDescent="0.4">
      <c r="C4" s="134" t="str">
        <f>U10組合せ!G20</f>
        <v>B1234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3"/>
      <c r="X4" s="133"/>
      <c r="Y4" s="133"/>
      <c r="Z4" s="133"/>
      <c r="AA4" s="133"/>
      <c r="AB4" s="133"/>
      <c r="AC4" s="133"/>
    </row>
    <row r="5" spans="1:45" ht="29.25" customHeight="1" x14ac:dyDescent="0.4">
      <c r="C5" s="481">
        <v>1</v>
      </c>
      <c r="D5" s="481"/>
      <c r="E5" s="488" t="str">
        <f>VLOOKUP(C5,U10組合せ!$B$10:$I$17,5,TRUE)</f>
        <v>宝木キッカーズ</v>
      </c>
      <c r="F5" s="488"/>
      <c r="G5" s="488"/>
      <c r="H5" s="488"/>
      <c r="I5" s="488"/>
      <c r="J5" s="488"/>
      <c r="K5" s="488"/>
      <c r="L5" s="488"/>
      <c r="M5" s="488"/>
      <c r="N5" s="488"/>
      <c r="O5" s="148"/>
      <c r="P5" s="148"/>
      <c r="Q5" s="486">
        <v>4</v>
      </c>
      <c r="R5" s="486"/>
      <c r="S5" s="488" t="str">
        <f>VLOOKUP(Q5,U10組合せ!$B$10:$I$17,5,TRUE)</f>
        <v>FCアネーロ・U-10</v>
      </c>
      <c r="T5" s="488"/>
      <c r="U5" s="488"/>
      <c r="V5" s="488"/>
      <c r="W5" s="488"/>
      <c r="X5" s="488"/>
      <c r="Y5" s="488"/>
      <c r="Z5" s="488"/>
      <c r="AA5" s="488"/>
      <c r="AB5" s="488"/>
      <c r="AC5" s="147"/>
      <c r="AD5" s="132"/>
      <c r="AE5" s="486">
        <v>7</v>
      </c>
      <c r="AF5" s="486"/>
      <c r="AG5" s="487" t="str">
        <f>VLOOKUP(AE5,U10組合せ!$B$10:$I$17,5,TRUE)</f>
        <v>FCアリーバ</v>
      </c>
      <c r="AH5" s="487"/>
      <c r="AI5" s="487"/>
      <c r="AJ5" s="487"/>
      <c r="AK5" s="487"/>
      <c r="AL5" s="487"/>
      <c r="AM5" s="487"/>
      <c r="AN5" s="487"/>
      <c r="AO5" s="487"/>
      <c r="AP5" s="487"/>
    </row>
    <row r="6" spans="1:45" ht="29.25" customHeight="1" x14ac:dyDescent="0.4">
      <c r="C6" s="481">
        <v>2</v>
      </c>
      <c r="D6" s="481"/>
      <c r="E6" s="488" t="str">
        <f>VLOOKUP(C6,U10組合せ!$B$10:$I$17,5,TRUE)</f>
        <v>栃木SC　U-10</v>
      </c>
      <c r="F6" s="488"/>
      <c r="G6" s="488"/>
      <c r="H6" s="488"/>
      <c r="I6" s="488"/>
      <c r="J6" s="488"/>
      <c r="K6" s="488"/>
      <c r="L6" s="488"/>
      <c r="M6" s="488"/>
      <c r="N6" s="488"/>
      <c r="O6" s="148"/>
      <c r="P6" s="148"/>
      <c r="Q6" s="486">
        <v>5</v>
      </c>
      <c r="R6" s="486"/>
      <c r="S6" s="487" t="str">
        <f>VLOOKUP(Q6,U10組合せ!$B$10:$I$17,5,TRUE)</f>
        <v>SUGAO・SC</v>
      </c>
      <c r="T6" s="487"/>
      <c r="U6" s="487"/>
      <c r="V6" s="487"/>
      <c r="W6" s="487"/>
      <c r="X6" s="487"/>
      <c r="Y6" s="487"/>
      <c r="Z6" s="487"/>
      <c r="AA6" s="487"/>
      <c r="AB6" s="487"/>
      <c r="AC6" s="147"/>
      <c r="AD6" s="132"/>
      <c r="AE6" s="486">
        <v>8</v>
      </c>
      <c r="AF6" s="486"/>
      <c r="AG6" s="488"/>
      <c r="AH6" s="488"/>
      <c r="AI6" s="488"/>
      <c r="AJ6" s="488"/>
      <c r="AK6" s="488"/>
      <c r="AL6" s="488"/>
      <c r="AM6" s="488"/>
      <c r="AN6" s="488"/>
      <c r="AO6" s="488"/>
      <c r="AP6" s="488"/>
    </row>
    <row r="7" spans="1:45" ht="29.25" customHeight="1" x14ac:dyDescent="0.4">
      <c r="C7" s="481">
        <v>3</v>
      </c>
      <c r="D7" s="481"/>
      <c r="E7" s="488" t="str">
        <f>VLOOKUP(C7,U10組合せ!$B$10:$I$17,5,TRUE)</f>
        <v>石井FC</v>
      </c>
      <c r="F7" s="488"/>
      <c r="G7" s="488"/>
      <c r="H7" s="488"/>
      <c r="I7" s="488"/>
      <c r="J7" s="488"/>
      <c r="K7" s="488"/>
      <c r="L7" s="488"/>
      <c r="M7" s="488"/>
      <c r="N7" s="488"/>
      <c r="O7" s="148"/>
      <c r="P7" s="148"/>
      <c r="Q7" s="486">
        <v>6</v>
      </c>
      <c r="R7" s="486"/>
      <c r="S7" s="487" t="str">
        <f>VLOOKUP(Q7,U10組合せ!$B$10:$I$17,5,TRUE)</f>
        <v>スポルト宇都宮U10</v>
      </c>
      <c r="T7" s="487"/>
      <c r="U7" s="487"/>
      <c r="V7" s="487"/>
      <c r="W7" s="487"/>
      <c r="X7" s="487"/>
      <c r="Y7" s="487"/>
      <c r="Z7" s="487"/>
      <c r="AA7" s="487"/>
      <c r="AB7" s="487"/>
      <c r="AC7" s="147"/>
      <c r="AD7" s="132"/>
      <c r="AE7" s="486">
        <v>9</v>
      </c>
      <c r="AF7" s="486"/>
      <c r="AG7" s="488"/>
      <c r="AH7" s="488"/>
      <c r="AI7" s="488"/>
      <c r="AJ7" s="488"/>
      <c r="AK7" s="488"/>
      <c r="AL7" s="488"/>
      <c r="AM7" s="488"/>
      <c r="AN7" s="488"/>
      <c r="AO7" s="488"/>
      <c r="AP7" s="488"/>
    </row>
    <row r="8" spans="1:45" ht="8.25" customHeight="1" x14ac:dyDescent="0.4">
      <c r="O8" s="138"/>
      <c r="P8" s="138"/>
      <c r="AC8" s="133"/>
    </row>
    <row r="9" spans="1:45" ht="8.25" customHeight="1" x14ac:dyDescent="0.4">
      <c r="C9" s="149"/>
      <c r="D9" s="150"/>
      <c r="E9" s="150"/>
      <c r="F9" s="150"/>
      <c r="G9" s="150"/>
      <c r="H9" s="150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50"/>
      <c r="U9" s="138"/>
      <c r="V9" s="150"/>
      <c r="W9" s="138"/>
      <c r="X9" s="150"/>
      <c r="Y9" s="138"/>
      <c r="Z9" s="150"/>
      <c r="AA9" s="138"/>
      <c r="AB9" s="150"/>
      <c r="AC9" s="150"/>
    </row>
    <row r="10" spans="1:45" ht="21" customHeight="1" x14ac:dyDescent="0.4">
      <c r="B10" s="134" t="s">
        <v>181</v>
      </c>
    </row>
    <row r="11" spans="1:45" ht="20.25" customHeight="1" x14ac:dyDescent="0.4">
      <c r="B11" s="135"/>
      <c r="C11" s="469" t="s">
        <v>3</v>
      </c>
      <c r="D11" s="469"/>
      <c r="E11" s="469"/>
      <c r="F11" s="470" t="s">
        <v>4</v>
      </c>
      <c r="G11" s="470"/>
      <c r="H11" s="470"/>
      <c r="I11" s="470"/>
      <c r="J11" s="469" t="s">
        <v>5</v>
      </c>
      <c r="K11" s="471"/>
      <c r="L11" s="471"/>
      <c r="M11" s="471"/>
      <c r="N11" s="471"/>
      <c r="O11" s="471"/>
      <c r="P11" s="471"/>
      <c r="Q11" s="469" t="s">
        <v>40</v>
      </c>
      <c r="R11" s="469"/>
      <c r="S11" s="469"/>
      <c r="T11" s="469"/>
      <c r="U11" s="469"/>
      <c r="V11" s="469"/>
      <c r="W11" s="469"/>
      <c r="X11" s="469" t="s">
        <v>5</v>
      </c>
      <c r="Y11" s="471"/>
      <c r="Z11" s="471"/>
      <c r="AA11" s="471"/>
      <c r="AB11" s="471"/>
      <c r="AC11" s="471"/>
      <c r="AD11" s="471"/>
      <c r="AE11" s="470" t="s">
        <v>4</v>
      </c>
      <c r="AF11" s="470"/>
      <c r="AG11" s="470"/>
      <c r="AH11" s="470"/>
      <c r="AI11" s="469" t="s">
        <v>7</v>
      </c>
      <c r="AJ11" s="469"/>
      <c r="AK11" s="471"/>
      <c r="AL11" s="471"/>
      <c r="AM11" s="471"/>
      <c r="AN11" s="471"/>
      <c r="AO11" s="471"/>
      <c r="AP11" s="471"/>
    </row>
    <row r="12" spans="1:45" ht="20.100000000000001" customHeight="1" x14ac:dyDescent="0.4">
      <c r="B12" s="442" t="str">
        <f ca="1">DBCS(INDIRECT("U10対戦スケジュール!g"&amp;(ROW())/2+2))</f>
        <v>①</v>
      </c>
      <c r="C12" s="461">
        <f ca="1">INDIRECT("U10対戦スケジュール!h"&amp;(ROW())/2+2)</f>
        <v>0.375</v>
      </c>
      <c r="D12" s="462"/>
      <c r="E12" s="463"/>
      <c r="F12" s="449"/>
      <c r="G12" s="449"/>
      <c r="H12" s="449"/>
      <c r="I12" s="449"/>
      <c r="J12" s="467" t="str">
        <f ca="1">VLOOKUP(AR12,U10組合せ!$B$10:$I$17,5,TRUE)</f>
        <v>宝木キッカーズ</v>
      </c>
      <c r="K12" s="468"/>
      <c r="L12" s="468"/>
      <c r="M12" s="468"/>
      <c r="N12" s="468"/>
      <c r="O12" s="468"/>
      <c r="P12" s="468"/>
      <c r="Q12" s="510">
        <f>IF(OR(S12="",S13=""),"",S12+S13)</f>
        <v>0</v>
      </c>
      <c r="R12" s="510"/>
      <c r="S12" s="243">
        <v>0</v>
      </c>
      <c r="T12" s="244" t="s">
        <v>8</v>
      </c>
      <c r="U12" s="243">
        <v>3</v>
      </c>
      <c r="V12" s="510">
        <f>IF(OR(U12="",U13=""),"",U12+U13)</f>
        <v>8</v>
      </c>
      <c r="W12" s="510"/>
      <c r="X12" s="467" t="str">
        <f ca="1">VLOOKUP(AS12,U10組合せ!$B$10:$I$17,5,TRUE)</f>
        <v>栃木SC　U-10</v>
      </c>
      <c r="Y12" s="468"/>
      <c r="Z12" s="468"/>
      <c r="AA12" s="468"/>
      <c r="AB12" s="468"/>
      <c r="AC12" s="468"/>
      <c r="AD12" s="468"/>
      <c r="AE12" s="449"/>
      <c r="AF12" s="449"/>
      <c r="AG12" s="449"/>
      <c r="AH12" s="449"/>
      <c r="AI12" s="446" t="str">
        <f ca="1">DBCS(INDIRECT("U10対戦スケジュール!L"&amp;(ROW())/2+2))</f>
        <v>３／４／４／３</v>
      </c>
      <c r="AJ12" s="449" t="str">
        <f t="shared" ref="AJ12:AP18" ca="1" si="0">DBCS(INDIRECT("U10対戦スケジュール!A"&amp;(ROW())/2+2))</f>
        <v>①</v>
      </c>
      <c r="AK12" s="449" t="str">
        <f t="shared" ca="1" si="0"/>
        <v>①</v>
      </c>
      <c r="AL12" s="449" t="str">
        <f t="shared" ca="1" si="0"/>
        <v>①</v>
      </c>
      <c r="AM12" s="449" t="str">
        <f t="shared" ca="1" si="0"/>
        <v>①</v>
      </c>
      <c r="AN12" s="449" t="str">
        <f t="shared" ca="1" si="0"/>
        <v>①</v>
      </c>
      <c r="AO12" s="449" t="str">
        <f t="shared" ca="1" si="0"/>
        <v>①</v>
      </c>
      <c r="AP12" s="449" t="str">
        <f t="shared" ca="1" si="0"/>
        <v>①</v>
      </c>
      <c r="AR12" s="151">
        <f ca="1">VLOOKUP($B12,U10対戦スケジュール!$G$8:$L$11,3,TRUE)</f>
        <v>1</v>
      </c>
      <c r="AS12" s="151">
        <f ca="1">VLOOKUP($B12,U10対戦スケジュール!$G$8:$L$11,5,TRUE)</f>
        <v>2</v>
      </c>
    </row>
    <row r="13" spans="1:45" ht="20.100000000000001" customHeight="1" x14ac:dyDescent="0.4">
      <c r="B13" s="442"/>
      <c r="C13" s="464"/>
      <c r="D13" s="465"/>
      <c r="E13" s="466"/>
      <c r="F13" s="449"/>
      <c r="G13" s="449"/>
      <c r="H13" s="449"/>
      <c r="I13" s="449"/>
      <c r="J13" s="468"/>
      <c r="K13" s="468"/>
      <c r="L13" s="468"/>
      <c r="M13" s="468"/>
      <c r="N13" s="468"/>
      <c r="O13" s="468"/>
      <c r="P13" s="468"/>
      <c r="Q13" s="510"/>
      <c r="R13" s="510"/>
      <c r="S13" s="243">
        <v>0</v>
      </c>
      <c r="T13" s="244" t="s">
        <v>8</v>
      </c>
      <c r="U13" s="243">
        <v>5</v>
      </c>
      <c r="V13" s="510"/>
      <c r="W13" s="510"/>
      <c r="X13" s="468"/>
      <c r="Y13" s="468"/>
      <c r="Z13" s="468"/>
      <c r="AA13" s="468"/>
      <c r="AB13" s="468"/>
      <c r="AC13" s="468"/>
      <c r="AD13" s="468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R13" s="151"/>
      <c r="AS13" s="151"/>
    </row>
    <row r="14" spans="1:45" ht="20.100000000000001" customHeight="1" x14ac:dyDescent="0.4">
      <c r="B14" s="442" t="str">
        <f t="shared" ref="B14" ca="1" si="1">DBCS(INDIRECT("U10対戦スケジュール!g"&amp;(ROW())/2+2))</f>
        <v>②</v>
      </c>
      <c r="C14" s="461">
        <f t="shared" ref="C14" ca="1" si="2">INDIRECT("U10対戦スケジュール!h"&amp;(ROW())/2+2)</f>
        <v>0.40279999999999999</v>
      </c>
      <c r="D14" s="462"/>
      <c r="E14" s="463"/>
      <c r="F14" s="449"/>
      <c r="G14" s="449"/>
      <c r="H14" s="449"/>
      <c r="I14" s="449"/>
      <c r="J14" s="467" t="str">
        <f ca="1">VLOOKUP(AR14,U10組合せ!$B$10:$I$17,5,TRUE)</f>
        <v>石井FC</v>
      </c>
      <c r="K14" s="468"/>
      <c r="L14" s="468"/>
      <c r="M14" s="468"/>
      <c r="N14" s="468"/>
      <c r="O14" s="468"/>
      <c r="P14" s="468"/>
      <c r="Q14" s="510">
        <f>IF(OR(S14="",S15=""),"",S14+S15)</f>
        <v>0</v>
      </c>
      <c r="R14" s="510"/>
      <c r="S14" s="243">
        <v>0</v>
      </c>
      <c r="T14" s="244" t="s">
        <v>8</v>
      </c>
      <c r="U14" s="243">
        <v>0</v>
      </c>
      <c r="V14" s="510">
        <f>IF(OR(U14="",U15=""),"",U14+U15)</f>
        <v>1</v>
      </c>
      <c r="W14" s="510"/>
      <c r="X14" s="467" t="str">
        <f ca="1">VLOOKUP(AS14,U10組合せ!$B$10:$I$17,5,TRUE)</f>
        <v>FCアネーロ・U-10</v>
      </c>
      <c r="Y14" s="468"/>
      <c r="Z14" s="468"/>
      <c r="AA14" s="468"/>
      <c r="AB14" s="468"/>
      <c r="AC14" s="468"/>
      <c r="AD14" s="468"/>
      <c r="AE14" s="449"/>
      <c r="AF14" s="449"/>
      <c r="AG14" s="449"/>
      <c r="AH14" s="449"/>
      <c r="AI14" s="446" t="str">
        <f ca="1">DBCS(INDIRECT("U10対戦スケジュール!L"&amp;(ROW())/2+2))</f>
        <v>１／２／２／１</v>
      </c>
      <c r="AJ14" s="449" t="str">
        <f t="shared" ca="1" si="0"/>
        <v>②</v>
      </c>
      <c r="AK14" s="449" t="str">
        <f t="shared" ca="1" si="0"/>
        <v>②</v>
      </c>
      <c r="AL14" s="449" t="str">
        <f t="shared" ca="1" si="0"/>
        <v>②</v>
      </c>
      <c r="AM14" s="449" t="str">
        <f t="shared" ca="1" si="0"/>
        <v>②</v>
      </c>
      <c r="AN14" s="449" t="str">
        <f t="shared" ca="1" si="0"/>
        <v>②</v>
      </c>
      <c r="AO14" s="449" t="str">
        <f t="shared" ca="1" si="0"/>
        <v>②</v>
      </c>
      <c r="AP14" s="449" t="str">
        <f t="shared" ca="1" si="0"/>
        <v>②</v>
      </c>
      <c r="AR14" s="151">
        <f ca="1">VLOOKUP($B14,U10対戦スケジュール!$G$8:$L$11,3,TRUE)</f>
        <v>3</v>
      </c>
      <c r="AS14" s="151">
        <f ca="1">VLOOKUP($B14,U10対戦スケジュール!$G$8:$L$11,5,TRUE)</f>
        <v>4</v>
      </c>
    </row>
    <row r="15" spans="1:45" ht="20.100000000000001" customHeight="1" x14ac:dyDescent="0.4">
      <c r="B15" s="442"/>
      <c r="C15" s="464"/>
      <c r="D15" s="465"/>
      <c r="E15" s="466"/>
      <c r="F15" s="449"/>
      <c r="G15" s="449"/>
      <c r="H15" s="449"/>
      <c r="I15" s="449"/>
      <c r="J15" s="468"/>
      <c r="K15" s="468"/>
      <c r="L15" s="468"/>
      <c r="M15" s="468"/>
      <c r="N15" s="468"/>
      <c r="O15" s="468"/>
      <c r="P15" s="468"/>
      <c r="Q15" s="510"/>
      <c r="R15" s="510"/>
      <c r="S15" s="243">
        <v>0</v>
      </c>
      <c r="T15" s="244" t="s">
        <v>8</v>
      </c>
      <c r="U15" s="243">
        <v>1</v>
      </c>
      <c r="V15" s="510"/>
      <c r="W15" s="510"/>
      <c r="X15" s="468"/>
      <c r="Y15" s="468"/>
      <c r="Z15" s="468"/>
      <c r="AA15" s="468"/>
      <c r="AB15" s="468"/>
      <c r="AC15" s="468"/>
      <c r="AD15" s="468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R15" s="151"/>
      <c r="AS15" s="151"/>
    </row>
    <row r="16" spans="1:45" ht="20.100000000000001" customHeight="1" x14ac:dyDescent="0.4">
      <c r="B16" s="442" t="str">
        <f t="shared" ref="B16" ca="1" si="3">DBCS(INDIRECT("U10対戦スケジュール!g"&amp;(ROW())/2+2))</f>
        <v>③</v>
      </c>
      <c r="C16" s="461">
        <f t="shared" ref="C16" ca="1" si="4">INDIRECT("U10対戦スケジュール!h"&amp;(ROW())/2+2)</f>
        <v>0.43779999999999997</v>
      </c>
      <c r="D16" s="462"/>
      <c r="E16" s="463"/>
      <c r="F16" s="449"/>
      <c r="G16" s="449"/>
      <c r="H16" s="449"/>
      <c r="I16" s="449"/>
      <c r="J16" s="467" t="str">
        <f ca="1">VLOOKUP(AR16,U10組合せ!$B$10:$I$17,5,TRUE)</f>
        <v>宝木キッカーズ</v>
      </c>
      <c r="K16" s="468"/>
      <c r="L16" s="468"/>
      <c r="M16" s="468"/>
      <c r="N16" s="468"/>
      <c r="O16" s="468"/>
      <c r="P16" s="468"/>
      <c r="Q16" s="510">
        <f>IF(OR(S16="",S17=""),"",S16+S17)</f>
        <v>3</v>
      </c>
      <c r="R16" s="510"/>
      <c r="S16" s="243">
        <v>2</v>
      </c>
      <c r="T16" s="244" t="s">
        <v>8</v>
      </c>
      <c r="U16" s="243">
        <v>0</v>
      </c>
      <c r="V16" s="510">
        <f>IF(OR(U16="",U17=""),"",U16+U17)</f>
        <v>2</v>
      </c>
      <c r="W16" s="510"/>
      <c r="X16" s="467" t="str">
        <f ca="1">VLOOKUP(AS16,U10組合せ!$B$10:$I$17,5,TRUE)</f>
        <v>FCアネーロ・U-10</v>
      </c>
      <c r="Y16" s="468"/>
      <c r="Z16" s="468"/>
      <c r="AA16" s="468"/>
      <c r="AB16" s="468"/>
      <c r="AC16" s="468"/>
      <c r="AD16" s="468"/>
      <c r="AE16" s="449"/>
      <c r="AF16" s="449"/>
      <c r="AG16" s="449"/>
      <c r="AH16" s="449"/>
      <c r="AI16" s="446" t="str">
        <f ca="1">DBCS(INDIRECT("U10対戦スケジュール!L"&amp;(ROW())/2+2))</f>
        <v>２／３／３／２</v>
      </c>
      <c r="AJ16" s="449" t="str">
        <f t="shared" ca="1" si="0"/>
        <v>③</v>
      </c>
      <c r="AK16" s="449" t="str">
        <f t="shared" ca="1" si="0"/>
        <v>③</v>
      </c>
      <c r="AL16" s="449" t="str">
        <f t="shared" ca="1" si="0"/>
        <v>③</v>
      </c>
      <c r="AM16" s="449" t="str">
        <f t="shared" ca="1" si="0"/>
        <v>③</v>
      </c>
      <c r="AN16" s="449" t="str">
        <f t="shared" ca="1" si="0"/>
        <v>③</v>
      </c>
      <c r="AO16" s="449" t="str">
        <f t="shared" ca="1" si="0"/>
        <v>③</v>
      </c>
      <c r="AP16" s="449" t="str">
        <f t="shared" ca="1" si="0"/>
        <v>③</v>
      </c>
      <c r="AR16" s="151">
        <f ca="1">VLOOKUP($B16,U10対戦スケジュール!$G$8:$L$11,3,TRUE)</f>
        <v>1</v>
      </c>
      <c r="AS16" s="151">
        <f ca="1">VLOOKUP($B16,U10対戦スケジュール!$G$8:$L$11,5,TRUE)</f>
        <v>4</v>
      </c>
    </row>
    <row r="17" spans="1:45" ht="20.100000000000001" customHeight="1" x14ac:dyDescent="0.4">
      <c r="B17" s="442"/>
      <c r="C17" s="464"/>
      <c r="D17" s="465"/>
      <c r="E17" s="466"/>
      <c r="F17" s="449"/>
      <c r="G17" s="449"/>
      <c r="H17" s="449"/>
      <c r="I17" s="449"/>
      <c r="J17" s="468"/>
      <c r="K17" s="468"/>
      <c r="L17" s="468"/>
      <c r="M17" s="468"/>
      <c r="N17" s="468"/>
      <c r="O17" s="468"/>
      <c r="P17" s="468"/>
      <c r="Q17" s="510"/>
      <c r="R17" s="510"/>
      <c r="S17" s="243">
        <v>1</v>
      </c>
      <c r="T17" s="244" t="s">
        <v>8</v>
      </c>
      <c r="U17" s="243">
        <v>2</v>
      </c>
      <c r="V17" s="510"/>
      <c r="W17" s="510"/>
      <c r="X17" s="468"/>
      <c r="Y17" s="468"/>
      <c r="Z17" s="468"/>
      <c r="AA17" s="468"/>
      <c r="AB17" s="468"/>
      <c r="AC17" s="468"/>
      <c r="AD17" s="468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R17" s="151"/>
      <c r="AS17" s="151"/>
    </row>
    <row r="18" spans="1:45" ht="20.100000000000001" customHeight="1" x14ac:dyDescent="0.4">
      <c r="B18" s="442" t="str">
        <f t="shared" ref="B18" ca="1" si="5">DBCS(INDIRECT("U10対戦スケジュール!g"&amp;(ROW())/2+2))</f>
        <v>④</v>
      </c>
      <c r="C18" s="461">
        <f t="shared" ref="C18" ca="1" si="6">INDIRECT("U10対戦スケジュール!h"&amp;(ROW())/2+2)</f>
        <v>0.46559999999999996</v>
      </c>
      <c r="D18" s="462"/>
      <c r="E18" s="463"/>
      <c r="F18" s="449"/>
      <c r="G18" s="449"/>
      <c r="H18" s="449"/>
      <c r="I18" s="449"/>
      <c r="J18" s="467" t="str">
        <f ca="1">VLOOKUP(AR18,U10組合せ!$B$10:$I$17,5,TRUE)</f>
        <v>石井FC</v>
      </c>
      <c r="K18" s="468"/>
      <c r="L18" s="468"/>
      <c r="M18" s="468"/>
      <c r="N18" s="468"/>
      <c r="O18" s="468"/>
      <c r="P18" s="468"/>
      <c r="Q18" s="510">
        <f>IF(OR(S18="",S19=""),"",S18+S19)</f>
        <v>0</v>
      </c>
      <c r="R18" s="510"/>
      <c r="S18" s="243">
        <v>0</v>
      </c>
      <c r="T18" s="244" t="s">
        <v>8</v>
      </c>
      <c r="U18" s="243">
        <v>2</v>
      </c>
      <c r="V18" s="510">
        <f>IF(OR(U18="",U19=""),"",U18+U19)</f>
        <v>5</v>
      </c>
      <c r="W18" s="510"/>
      <c r="X18" s="467" t="str">
        <f ca="1">VLOOKUP(AS18,U10組合せ!$B$10:$I$17,5,TRUE)</f>
        <v>栃木SC　U-10</v>
      </c>
      <c r="Y18" s="468"/>
      <c r="Z18" s="468"/>
      <c r="AA18" s="468"/>
      <c r="AB18" s="468"/>
      <c r="AC18" s="468"/>
      <c r="AD18" s="468"/>
      <c r="AE18" s="449"/>
      <c r="AF18" s="449"/>
      <c r="AG18" s="449"/>
      <c r="AH18" s="449"/>
      <c r="AI18" s="446" t="str">
        <f ca="1">DBCS(INDIRECT("U10対戦スケジュール!L"&amp;(ROW())/2+2))</f>
        <v>４／１／１／４</v>
      </c>
      <c r="AJ18" s="449" t="str">
        <f t="shared" ca="1" si="0"/>
        <v>④</v>
      </c>
      <c r="AK18" s="449" t="str">
        <f t="shared" ca="1" si="0"/>
        <v>④</v>
      </c>
      <c r="AL18" s="449" t="str">
        <f t="shared" ca="1" si="0"/>
        <v>④</v>
      </c>
      <c r="AM18" s="449" t="str">
        <f t="shared" ca="1" si="0"/>
        <v>④</v>
      </c>
      <c r="AN18" s="449" t="str">
        <f t="shared" ca="1" si="0"/>
        <v>④</v>
      </c>
      <c r="AO18" s="449" t="str">
        <f t="shared" ca="1" si="0"/>
        <v>④</v>
      </c>
      <c r="AP18" s="449" t="str">
        <f t="shared" ca="1" si="0"/>
        <v>④</v>
      </c>
      <c r="AR18" s="151">
        <f ca="1">VLOOKUP($B18,U10対戦スケジュール!$G$8:$L$11,3,TRUE)</f>
        <v>3</v>
      </c>
      <c r="AS18" s="151">
        <f ca="1">VLOOKUP($B18,U10対戦スケジュール!$G$8:$L$11,5,TRUE)</f>
        <v>2</v>
      </c>
    </row>
    <row r="19" spans="1:45" ht="20.100000000000001" customHeight="1" x14ac:dyDescent="0.4">
      <c r="B19" s="442"/>
      <c r="C19" s="464"/>
      <c r="D19" s="465"/>
      <c r="E19" s="466"/>
      <c r="F19" s="449"/>
      <c r="G19" s="449"/>
      <c r="H19" s="449"/>
      <c r="I19" s="449"/>
      <c r="J19" s="468"/>
      <c r="K19" s="468"/>
      <c r="L19" s="468"/>
      <c r="M19" s="468"/>
      <c r="N19" s="468"/>
      <c r="O19" s="468"/>
      <c r="P19" s="468"/>
      <c r="Q19" s="510"/>
      <c r="R19" s="510"/>
      <c r="S19" s="243">
        <v>0</v>
      </c>
      <c r="T19" s="244" t="s">
        <v>8</v>
      </c>
      <c r="U19" s="243">
        <v>3</v>
      </c>
      <c r="V19" s="510"/>
      <c r="W19" s="510"/>
      <c r="X19" s="468"/>
      <c r="Y19" s="468"/>
      <c r="Z19" s="468"/>
      <c r="AA19" s="468"/>
      <c r="AB19" s="468"/>
      <c r="AC19" s="468"/>
      <c r="AD19" s="468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  <c r="AR19" s="151"/>
      <c r="AS19" s="151"/>
    </row>
    <row r="20" spans="1:45" ht="20.100000000000001" customHeight="1" x14ac:dyDescent="0.4">
      <c r="B20" s="442" t="str">
        <f ca="1">DBCS(INDIRECT("U10対戦スケジュール!A"&amp;(ROW())/2+2))</f>
        <v/>
      </c>
      <c r="C20" s="450"/>
      <c r="D20" s="450"/>
      <c r="E20" s="450"/>
      <c r="F20" s="449"/>
      <c r="G20" s="449"/>
      <c r="H20" s="449"/>
      <c r="I20" s="449"/>
      <c r="J20" s="447"/>
      <c r="K20" s="448"/>
      <c r="L20" s="448"/>
      <c r="M20" s="448"/>
      <c r="N20" s="448"/>
      <c r="O20" s="448"/>
      <c r="P20" s="448"/>
      <c r="Q20" s="446"/>
      <c r="R20" s="446"/>
      <c r="S20" s="136"/>
      <c r="T20" s="137"/>
      <c r="U20" s="136"/>
      <c r="V20" s="446"/>
      <c r="W20" s="446"/>
      <c r="X20" s="447"/>
      <c r="Y20" s="448"/>
      <c r="Z20" s="448"/>
      <c r="AA20" s="448"/>
      <c r="AB20" s="448"/>
      <c r="AC20" s="448"/>
      <c r="AD20" s="448"/>
      <c r="AE20" s="449"/>
      <c r="AF20" s="449"/>
      <c r="AG20" s="449"/>
      <c r="AH20" s="449"/>
      <c r="AI20" s="446"/>
      <c r="AJ20" s="449"/>
      <c r="AK20" s="449"/>
      <c r="AL20" s="449"/>
      <c r="AM20" s="449"/>
      <c r="AN20" s="449"/>
      <c r="AO20" s="449"/>
      <c r="AP20" s="449"/>
      <c r="AR20" s="151"/>
      <c r="AS20" s="151"/>
    </row>
    <row r="21" spans="1:45" ht="20.100000000000001" customHeight="1" x14ac:dyDescent="0.4">
      <c r="B21" s="442"/>
      <c r="C21" s="450"/>
      <c r="D21" s="450"/>
      <c r="E21" s="450"/>
      <c r="F21" s="449"/>
      <c r="G21" s="449"/>
      <c r="H21" s="449"/>
      <c r="I21" s="449"/>
      <c r="J21" s="448"/>
      <c r="K21" s="448"/>
      <c r="L21" s="448"/>
      <c r="M21" s="448"/>
      <c r="N21" s="448"/>
      <c r="O21" s="448"/>
      <c r="P21" s="448"/>
      <c r="Q21" s="446"/>
      <c r="R21" s="446"/>
      <c r="S21" s="136"/>
      <c r="T21" s="137"/>
      <c r="U21" s="136"/>
      <c r="V21" s="446"/>
      <c r="W21" s="446"/>
      <c r="X21" s="448"/>
      <c r="Y21" s="448"/>
      <c r="Z21" s="448"/>
      <c r="AA21" s="448"/>
      <c r="AB21" s="448"/>
      <c r="AC21" s="448"/>
      <c r="AD21" s="448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  <c r="AR21" s="151"/>
      <c r="AS21" s="151"/>
    </row>
    <row r="22" spans="1:45" ht="20.100000000000001" customHeight="1" x14ac:dyDescent="0.4">
      <c r="B22" s="442"/>
      <c r="C22" s="450"/>
      <c r="D22" s="450"/>
      <c r="E22" s="450"/>
      <c r="F22" s="449"/>
      <c r="G22" s="449"/>
      <c r="H22" s="449"/>
      <c r="I22" s="449"/>
      <c r="J22" s="447"/>
      <c r="K22" s="448"/>
      <c r="L22" s="448"/>
      <c r="M22" s="448"/>
      <c r="N22" s="448"/>
      <c r="O22" s="448"/>
      <c r="P22" s="448"/>
      <c r="Q22" s="446"/>
      <c r="R22" s="446"/>
      <c r="S22" s="136"/>
      <c r="T22" s="137"/>
      <c r="U22" s="136"/>
      <c r="V22" s="446"/>
      <c r="W22" s="446"/>
      <c r="X22" s="447"/>
      <c r="Y22" s="448"/>
      <c r="Z22" s="448"/>
      <c r="AA22" s="448"/>
      <c r="AB22" s="448"/>
      <c r="AC22" s="448"/>
      <c r="AD22" s="448"/>
      <c r="AE22" s="449"/>
      <c r="AF22" s="449"/>
      <c r="AG22" s="449"/>
      <c r="AH22" s="449"/>
      <c r="AI22" s="446"/>
      <c r="AJ22" s="449"/>
      <c r="AK22" s="449"/>
      <c r="AL22" s="449"/>
      <c r="AM22" s="449"/>
      <c r="AN22" s="449"/>
      <c r="AO22" s="449"/>
      <c r="AP22" s="449"/>
      <c r="AR22" s="151"/>
      <c r="AS22" s="151"/>
    </row>
    <row r="23" spans="1:45" ht="20.100000000000001" customHeight="1" x14ac:dyDescent="0.4">
      <c r="B23" s="442"/>
      <c r="C23" s="450"/>
      <c r="D23" s="450"/>
      <c r="E23" s="450"/>
      <c r="F23" s="449"/>
      <c r="G23" s="449"/>
      <c r="H23" s="449"/>
      <c r="I23" s="449"/>
      <c r="J23" s="448"/>
      <c r="K23" s="448"/>
      <c r="L23" s="448"/>
      <c r="M23" s="448"/>
      <c r="N23" s="448"/>
      <c r="O23" s="448"/>
      <c r="P23" s="448"/>
      <c r="Q23" s="446"/>
      <c r="R23" s="446"/>
      <c r="S23" s="136"/>
      <c r="T23" s="137"/>
      <c r="U23" s="136"/>
      <c r="V23" s="446"/>
      <c r="W23" s="446"/>
      <c r="X23" s="448"/>
      <c r="Y23" s="448"/>
      <c r="Z23" s="448"/>
      <c r="AA23" s="448"/>
      <c r="AB23" s="448"/>
      <c r="AC23" s="448"/>
      <c r="AD23" s="448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  <c r="AR23" s="151"/>
      <c r="AS23" s="151"/>
    </row>
    <row r="24" spans="1:45" ht="20.100000000000001" customHeight="1" x14ac:dyDescent="0.4">
      <c r="B24" s="442"/>
      <c r="C24" s="450"/>
      <c r="D24" s="450"/>
      <c r="E24" s="450"/>
      <c r="F24" s="449"/>
      <c r="G24" s="449"/>
      <c r="H24" s="449"/>
      <c r="I24" s="449"/>
      <c r="J24" s="447"/>
      <c r="K24" s="448"/>
      <c r="L24" s="448"/>
      <c r="M24" s="448"/>
      <c r="N24" s="448"/>
      <c r="O24" s="448"/>
      <c r="P24" s="448"/>
      <c r="Q24" s="446"/>
      <c r="R24" s="446"/>
      <c r="S24" s="136"/>
      <c r="T24" s="137"/>
      <c r="U24" s="136"/>
      <c r="V24" s="446"/>
      <c r="W24" s="446"/>
      <c r="X24" s="447"/>
      <c r="Y24" s="448"/>
      <c r="Z24" s="448"/>
      <c r="AA24" s="448"/>
      <c r="AB24" s="448"/>
      <c r="AC24" s="448"/>
      <c r="AD24" s="448"/>
      <c r="AE24" s="449"/>
      <c r="AF24" s="449"/>
      <c r="AG24" s="449"/>
      <c r="AH24" s="449"/>
      <c r="AI24" s="446"/>
      <c r="AJ24" s="449"/>
      <c r="AK24" s="449"/>
      <c r="AL24" s="449"/>
      <c r="AM24" s="449"/>
      <c r="AN24" s="449"/>
      <c r="AO24" s="449"/>
      <c r="AP24" s="449"/>
      <c r="AR24" s="151"/>
      <c r="AS24" s="151"/>
    </row>
    <row r="25" spans="1:45" ht="20.100000000000001" customHeight="1" x14ac:dyDescent="0.4">
      <c r="B25" s="442"/>
      <c r="C25" s="450"/>
      <c r="D25" s="450"/>
      <c r="E25" s="450"/>
      <c r="F25" s="449"/>
      <c r="G25" s="449"/>
      <c r="H25" s="449"/>
      <c r="I25" s="449"/>
      <c r="J25" s="448"/>
      <c r="K25" s="448"/>
      <c r="L25" s="448"/>
      <c r="M25" s="448"/>
      <c r="N25" s="448"/>
      <c r="O25" s="448"/>
      <c r="P25" s="448"/>
      <c r="Q25" s="446"/>
      <c r="R25" s="446"/>
      <c r="S25" s="136"/>
      <c r="T25" s="137"/>
      <c r="U25" s="136"/>
      <c r="V25" s="446"/>
      <c r="W25" s="446"/>
      <c r="X25" s="448"/>
      <c r="Y25" s="448"/>
      <c r="Z25" s="448"/>
      <c r="AA25" s="448"/>
      <c r="AB25" s="448"/>
      <c r="AC25" s="448"/>
      <c r="AD25" s="448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</row>
    <row r="26" spans="1:45" ht="15.75" customHeight="1" x14ac:dyDescent="0.4">
      <c r="A26" s="138"/>
      <c r="B26" s="139"/>
      <c r="C26" s="140"/>
      <c r="D26" s="140"/>
      <c r="E26" s="140"/>
      <c r="F26" s="139"/>
      <c r="G26" s="139"/>
      <c r="H26" s="139"/>
      <c r="I26" s="139"/>
      <c r="J26" s="139"/>
      <c r="K26" s="141"/>
      <c r="L26" s="141"/>
      <c r="M26" s="142"/>
      <c r="N26" s="143"/>
      <c r="O26" s="142"/>
      <c r="P26" s="141"/>
      <c r="Q26" s="141"/>
      <c r="R26" s="139"/>
      <c r="S26" s="139"/>
      <c r="T26" s="139"/>
      <c r="U26" s="139"/>
      <c r="V26" s="139"/>
      <c r="W26" s="144"/>
      <c r="X26" s="144"/>
      <c r="Y26" s="144"/>
      <c r="Z26" s="144"/>
      <c r="AA26" s="144"/>
      <c r="AB26" s="144"/>
      <c r="AC26" s="138"/>
    </row>
    <row r="27" spans="1:45" ht="20.25" customHeight="1" x14ac:dyDescent="0.4">
      <c r="D27" s="442" t="s">
        <v>9</v>
      </c>
      <c r="E27" s="442"/>
      <c r="F27" s="442"/>
      <c r="G27" s="442"/>
      <c r="H27" s="442"/>
      <c r="I27" s="442"/>
      <c r="J27" s="442" t="s">
        <v>5</v>
      </c>
      <c r="K27" s="442"/>
      <c r="L27" s="442"/>
      <c r="M27" s="442"/>
      <c r="N27" s="442"/>
      <c r="O27" s="442"/>
      <c r="P27" s="442"/>
      <c r="Q27" s="442"/>
      <c r="R27" s="443" t="s">
        <v>10</v>
      </c>
      <c r="S27" s="443"/>
      <c r="T27" s="443"/>
      <c r="U27" s="443"/>
      <c r="V27" s="443"/>
      <c r="W27" s="443"/>
      <c r="X27" s="443"/>
      <c r="Y27" s="443"/>
      <c r="Z27" s="443"/>
      <c r="AA27" s="444" t="s">
        <v>11</v>
      </c>
      <c r="AB27" s="444"/>
      <c r="AC27" s="444"/>
      <c r="AD27" s="444" t="s">
        <v>12</v>
      </c>
      <c r="AE27" s="444"/>
      <c r="AF27" s="444"/>
      <c r="AG27" s="444"/>
      <c r="AH27" s="444"/>
      <c r="AI27" s="444"/>
      <c r="AJ27" s="444"/>
      <c r="AK27" s="444"/>
      <c r="AL27" s="444"/>
      <c r="AM27" s="444"/>
    </row>
    <row r="28" spans="1:45" ht="30" customHeight="1" x14ac:dyDescent="0.4">
      <c r="D28" s="442" t="s">
        <v>13</v>
      </c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  <c r="S28" s="443"/>
      <c r="T28" s="443"/>
      <c r="U28" s="443"/>
      <c r="V28" s="443"/>
      <c r="W28" s="443"/>
      <c r="X28" s="443"/>
      <c r="Y28" s="443"/>
      <c r="Z28" s="443"/>
      <c r="AA28" s="445"/>
      <c r="AB28" s="445"/>
      <c r="AC28" s="445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</row>
    <row r="29" spans="1:45" ht="30" customHeight="1" x14ac:dyDescent="0.4">
      <c r="D29" s="442" t="s">
        <v>13</v>
      </c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3"/>
      <c r="S29" s="443"/>
      <c r="T29" s="443"/>
      <c r="U29" s="443"/>
      <c r="V29" s="443"/>
      <c r="W29" s="443"/>
      <c r="X29" s="443"/>
      <c r="Y29" s="443"/>
      <c r="Z29" s="443"/>
      <c r="AA29" s="444"/>
      <c r="AB29" s="444"/>
      <c r="AC29" s="444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</row>
    <row r="30" spans="1:45" ht="30" customHeight="1" x14ac:dyDescent="0.4">
      <c r="D30" s="442" t="s">
        <v>13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443"/>
      <c r="T30" s="443"/>
      <c r="U30" s="443"/>
      <c r="V30" s="443"/>
      <c r="W30" s="443"/>
      <c r="X30" s="443"/>
      <c r="Y30" s="443"/>
      <c r="Z30" s="443"/>
      <c r="AA30" s="444"/>
      <c r="AB30" s="444"/>
      <c r="AC30" s="444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</row>
    <row r="31" spans="1:45" ht="17.25" customHeight="1" x14ac:dyDescent="0.4">
      <c r="A31" s="274"/>
      <c r="B31" s="274"/>
    </row>
    <row r="32" spans="1:45" ht="21" customHeight="1" x14ac:dyDescent="0.4">
      <c r="A32" s="227"/>
      <c r="B32" s="493" t="str">
        <f>U10組合せ!$B$1</f>
        <v>ＪＦＡ　Ｕ-１０サッカーリーグ2021（in栃木） 宇都宮地区リーグ戦（前期）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0" t="str">
        <f>"【"&amp;(U10組合せ!$F$3)&amp;"】"</f>
        <v>【Ｂ ブロック】</v>
      </c>
      <c r="AD32" s="490"/>
      <c r="AE32" s="490"/>
      <c r="AF32" s="490"/>
      <c r="AG32" s="490"/>
      <c r="AH32" s="490"/>
      <c r="AI32" s="490"/>
      <c r="AJ32" s="490"/>
      <c r="AK32" s="495" t="str">
        <f>"第"&amp;(U10組合せ!$D$19)</f>
        <v>第１節</v>
      </c>
      <c r="AL32" s="495"/>
      <c r="AM32" s="495"/>
      <c r="AN32" s="495"/>
      <c r="AO32" s="495"/>
      <c r="AP32" s="496" t="s">
        <v>196</v>
      </c>
      <c r="AQ32" s="497"/>
    </row>
    <row r="33" spans="1:51" ht="21" customHeight="1" x14ac:dyDescent="0.4">
      <c r="A33" s="227"/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0"/>
      <c r="AP33" s="497"/>
      <c r="AQ33" s="497"/>
    </row>
    <row r="34" spans="1:51" ht="27.75" customHeight="1" x14ac:dyDescent="0.4">
      <c r="C34" s="477" t="s">
        <v>1</v>
      </c>
      <c r="D34" s="477"/>
      <c r="E34" s="477"/>
      <c r="F34" s="477"/>
      <c r="G34" s="478" t="str">
        <f>U10組合せ!G21</f>
        <v>姿川中央小</v>
      </c>
      <c r="H34" s="479"/>
      <c r="I34" s="479"/>
      <c r="J34" s="479"/>
      <c r="K34" s="479"/>
      <c r="L34" s="479"/>
      <c r="M34" s="479"/>
      <c r="N34" s="479"/>
      <c r="O34" s="480"/>
      <c r="P34" s="477" t="s">
        <v>0</v>
      </c>
      <c r="Q34" s="477"/>
      <c r="R34" s="477"/>
      <c r="S34" s="477"/>
      <c r="T34" s="481" t="str">
        <f ca="1">J45</f>
        <v>SUGAO・SC</v>
      </c>
      <c r="U34" s="481"/>
      <c r="V34" s="481"/>
      <c r="W34" s="481"/>
      <c r="X34" s="481"/>
      <c r="Y34" s="481"/>
      <c r="Z34" s="481"/>
      <c r="AA34" s="481"/>
      <c r="AB34" s="481"/>
      <c r="AC34" s="477" t="s">
        <v>2</v>
      </c>
      <c r="AD34" s="477"/>
      <c r="AE34" s="477"/>
      <c r="AF34" s="477"/>
      <c r="AG34" s="482">
        <f>U10組合せ!B19</f>
        <v>44296</v>
      </c>
      <c r="AH34" s="483"/>
      <c r="AI34" s="483"/>
      <c r="AJ34" s="483"/>
      <c r="AK34" s="483"/>
      <c r="AL34" s="483"/>
      <c r="AM34" s="484" t="str">
        <f>"（"&amp;TEXT(AG34,"aaa")&amp;"）"</f>
        <v>（土）</v>
      </c>
      <c r="AN34" s="484"/>
      <c r="AO34" s="485"/>
    </row>
    <row r="35" spans="1:51" ht="15" customHeight="1" x14ac:dyDescent="0.4">
      <c r="C35" s="134" t="str">
        <f>U10対戦スケジュール!I13</f>
        <v>B567</v>
      </c>
      <c r="D35" s="138"/>
      <c r="E35" s="138"/>
      <c r="F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3"/>
      <c r="X35" s="133"/>
      <c r="Y35" s="133"/>
      <c r="Z35" s="133"/>
      <c r="AA35" s="133"/>
      <c r="AB35" s="133"/>
      <c r="AC35" s="133"/>
    </row>
    <row r="36" spans="1:51" ht="29.25" customHeight="1" x14ac:dyDescent="0.4">
      <c r="C36" s="486">
        <v>1</v>
      </c>
      <c r="D36" s="486"/>
      <c r="E36" s="487" t="str">
        <f>VLOOKUP(C36,U10組合せ!$B$10:$I$17,5,TRUE)</f>
        <v>宝木キッカーズ</v>
      </c>
      <c r="F36" s="487"/>
      <c r="G36" s="487"/>
      <c r="H36" s="487"/>
      <c r="I36" s="487"/>
      <c r="J36" s="487"/>
      <c r="K36" s="487"/>
      <c r="L36" s="487"/>
      <c r="M36" s="487"/>
      <c r="N36" s="487"/>
      <c r="O36" s="148"/>
      <c r="P36" s="148"/>
      <c r="Q36" s="486">
        <v>4</v>
      </c>
      <c r="R36" s="486"/>
      <c r="S36" s="487" t="str">
        <f>VLOOKUP(Q36,U10組合せ!$B$10:$I$17,5,TRUE)</f>
        <v>FCアネーロ・U-10</v>
      </c>
      <c r="T36" s="487"/>
      <c r="U36" s="487"/>
      <c r="V36" s="487"/>
      <c r="W36" s="487"/>
      <c r="X36" s="487"/>
      <c r="Y36" s="487"/>
      <c r="Z36" s="487"/>
      <c r="AA36" s="487"/>
      <c r="AB36" s="487"/>
      <c r="AC36" s="147"/>
      <c r="AD36" s="132"/>
      <c r="AE36" s="486">
        <v>7</v>
      </c>
      <c r="AF36" s="486"/>
      <c r="AG36" s="488" t="str">
        <f>VLOOKUP(AE36,U10組合せ!$B$10:$I$17,5,TRUE)</f>
        <v>FCアリーバ</v>
      </c>
      <c r="AH36" s="488"/>
      <c r="AI36" s="488"/>
      <c r="AJ36" s="488"/>
      <c r="AK36" s="488"/>
      <c r="AL36" s="488"/>
      <c r="AM36" s="488"/>
      <c r="AN36" s="488"/>
      <c r="AO36" s="488"/>
      <c r="AP36" s="488"/>
    </row>
    <row r="37" spans="1:51" ht="29.25" customHeight="1" x14ac:dyDescent="0.4">
      <c r="C37" s="486">
        <v>2</v>
      </c>
      <c r="D37" s="486"/>
      <c r="E37" s="487" t="str">
        <f>VLOOKUP(C37,U10組合せ!$B$10:$I$17,5,TRUE)</f>
        <v>栃木SC　U-10</v>
      </c>
      <c r="F37" s="487"/>
      <c r="G37" s="487"/>
      <c r="H37" s="487"/>
      <c r="I37" s="487"/>
      <c r="J37" s="487"/>
      <c r="K37" s="487"/>
      <c r="L37" s="487"/>
      <c r="M37" s="487"/>
      <c r="N37" s="487"/>
      <c r="O37" s="148"/>
      <c r="P37" s="148"/>
      <c r="Q37" s="481">
        <v>5</v>
      </c>
      <c r="R37" s="481"/>
      <c r="S37" s="488" t="str">
        <f>VLOOKUP(Q37,U10組合せ!$B$10:$I$17,5,TRUE)</f>
        <v>SUGAO・SC</v>
      </c>
      <c r="T37" s="488"/>
      <c r="U37" s="488"/>
      <c r="V37" s="488"/>
      <c r="W37" s="488"/>
      <c r="X37" s="488"/>
      <c r="Y37" s="488"/>
      <c r="Z37" s="488"/>
      <c r="AA37" s="488"/>
      <c r="AB37" s="488"/>
      <c r="AC37" s="147"/>
      <c r="AD37" s="132"/>
      <c r="AE37" s="486">
        <v>8</v>
      </c>
      <c r="AF37" s="486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</row>
    <row r="38" spans="1:51" ht="29.25" customHeight="1" x14ac:dyDescent="0.4">
      <c r="C38" s="486">
        <v>3</v>
      </c>
      <c r="D38" s="486"/>
      <c r="E38" s="487" t="str">
        <f>VLOOKUP(C38,U10組合せ!$B$10:$I$17,5,TRUE)</f>
        <v>石井FC</v>
      </c>
      <c r="F38" s="487"/>
      <c r="G38" s="487"/>
      <c r="H38" s="487"/>
      <c r="I38" s="487"/>
      <c r="J38" s="487"/>
      <c r="K38" s="487"/>
      <c r="L38" s="487"/>
      <c r="M38" s="487"/>
      <c r="N38" s="487"/>
      <c r="O38" s="148"/>
      <c r="P38" s="148"/>
      <c r="Q38" s="481">
        <v>6</v>
      </c>
      <c r="R38" s="481"/>
      <c r="S38" s="488" t="str">
        <f>VLOOKUP(Q38,U10組合せ!$B$10:$I$17,5,TRUE)</f>
        <v>スポルト宇都宮U10</v>
      </c>
      <c r="T38" s="488"/>
      <c r="U38" s="488"/>
      <c r="V38" s="488"/>
      <c r="W38" s="488"/>
      <c r="X38" s="488"/>
      <c r="Y38" s="488"/>
      <c r="Z38" s="488"/>
      <c r="AA38" s="488"/>
      <c r="AB38" s="488"/>
      <c r="AC38" s="147"/>
      <c r="AD38" s="132"/>
      <c r="AE38" s="486">
        <v>9</v>
      </c>
      <c r="AF38" s="486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</row>
    <row r="39" spans="1:51" ht="6.75" customHeight="1" x14ac:dyDescent="0.4">
      <c r="O39" s="138"/>
      <c r="P39" s="138"/>
      <c r="AC39" s="133"/>
    </row>
    <row r="40" spans="1:51" ht="6.75" customHeight="1" x14ac:dyDescent="0.4">
      <c r="C40" s="149"/>
      <c r="D40" s="150"/>
      <c r="E40" s="150"/>
      <c r="F40" s="150"/>
      <c r="G40" s="150"/>
      <c r="H40" s="150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50"/>
      <c r="U40" s="138"/>
      <c r="V40" s="150"/>
      <c r="W40" s="138"/>
      <c r="X40" s="150"/>
      <c r="Y40" s="138"/>
      <c r="Z40" s="150"/>
      <c r="AA40" s="138"/>
      <c r="AB40" s="150"/>
      <c r="AC40" s="150"/>
    </row>
    <row r="41" spans="1:51" ht="21" customHeight="1" x14ac:dyDescent="0.4">
      <c r="B41" s="134" t="s">
        <v>181</v>
      </c>
    </row>
    <row r="42" spans="1:51" ht="20.25" customHeight="1" x14ac:dyDescent="0.4">
      <c r="B42" s="135"/>
      <c r="C42" s="469" t="s">
        <v>3</v>
      </c>
      <c r="D42" s="469"/>
      <c r="E42" s="469"/>
      <c r="F42" s="470" t="s">
        <v>4</v>
      </c>
      <c r="G42" s="470"/>
      <c r="H42" s="470"/>
      <c r="I42" s="470"/>
      <c r="J42" s="469" t="s">
        <v>5</v>
      </c>
      <c r="K42" s="471"/>
      <c r="L42" s="471"/>
      <c r="M42" s="471"/>
      <c r="N42" s="471"/>
      <c r="O42" s="471"/>
      <c r="P42" s="471"/>
      <c r="Q42" s="469" t="s">
        <v>40</v>
      </c>
      <c r="R42" s="469"/>
      <c r="S42" s="469"/>
      <c r="T42" s="469"/>
      <c r="U42" s="469"/>
      <c r="V42" s="469"/>
      <c r="W42" s="469"/>
      <c r="X42" s="469" t="s">
        <v>5</v>
      </c>
      <c r="Y42" s="471"/>
      <c r="Z42" s="471"/>
      <c r="AA42" s="471"/>
      <c r="AB42" s="471"/>
      <c r="AC42" s="471"/>
      <c r="AD42" s="471"/>
      <c r="AE42" s="470" t="s">
        <v>4</v>
      </c>
      <c r="AF42" s="470"/>
      <c r="AG42" s="470"/>
      <c r="AH42" s="470"/>
      <c r="AI42" s="469" t="s">
        <v>7</v>
      </c>
      <c r="AJ42" s="469"/>
      <c r="AK42" s="471"/>
      <c r="AL42" s="471"/>
      <c r="AM42" s="471"/>
      <c r="AN42" s="471"/>
      <c r="AO42" s="471"/>
      <c r="AP42" s="471"/>
    </row>
    <row r="43" spans="1:51" ht="20.100000000000001" customHeight="1" x14ac:dyDescent="0.4">
      <c r="B43" s="442" t="str">
        <f ca="1">DBCS(INDIRECT("U10対戦スケジュール!g"&amp;(ROW()-1)/2-5))</f>
        <v>①</v>
      </c>
      <c r="C43" s="461">
        <f ca="1">INDIRECT("U10対戦スケジュール!h"&amp;(ROW()-1)/2-5)</f>
        <v>0.375</v>
      </c>
      <c r="D43" s="462"/>
      <c r="E43" s="463"/>
      <c r="F43" s="449"/>
      <c r="G43" s="449"/>
      <c r="H43" s="449"/>
      <c r="I43" s="449"/>
      <c r="J43" s="467" t="str">
        <f ca="1">VLOOKUP(AR43,U10組合せ!$B$10:$I$17,5,TRUE)</f>
        <v>FCアリーバ</v>
      </c>
      <c r="K43" s="468"/>
      <c r="L43" s="468"/>
      <c r="M43" s="468"/>
      <c r="N43" s="468"/>
      <c r="O43" s="468"/>
      <c r="P43" s="468"/>
      <c r="Q43" s="446">
        <f>IF(OR(S43="",S44=""),"",S43+S44)</f>
        <v>6</v>
      </c>
      <c r="R43" s="446"/>
      <c r="S43" s="136">
        <v>4</v>
      </c>
      <c r="T43" s="137" t="s">
        <v>8</v>
      </c>
      <c r="U43" s="136">
        <v>0</v>
      </c>
      <c r="V43" s="446">
        <f>IF(OR(U43="",U44=""),"",U43+U44)</f>
        <v>1</v>
      </c>
      <c r="W43" s="446"/>
      <c r="X43" s="467" t="str">
        <f ca="1">VLOOKUP(AS43,U10組合せ!$B$10:$I$17,5,TRUE)</f>
        <v>スポルト宇都宮U10</v>
      </c>
      <c r="Y43" s="468"/>
      <c r="Z43" s="468"/>
      <c r="AA43" s="468"/>
      <c r="AB43" s="468"/>
      <c r="AC43" s="468"/>
      <c r="AD43" s="468"/>
      <c r="AE43" s="449"/>
      <c r="AF43" s="449"/>
      <c r="AG43" s="449"/>
      <c r="AH43" s="449"/>
      <c r="AI43" s="498" t="str">
        <f ca="1">DBCS(INDIRECT("U10対戦スケジュール!L"&amp;(ROW()-1)/2-5))</f>
        <v>５／６／７／５</v>
      </c>
      <c r="AJ43" s="508" t="e">
        <f t="shared" ref="AJ43:AP43" ca="1" si="7">DBCS(INDIRECT("U10対戦スケジュール!A"&amp;(ROW())/2+2))</f>
        <v>#REF!</v>
      </c>
      <c r="AK43" s="508" t="e">
        <f t="shared" ca="1" si="7"/>
        <v>#REF!</v>
      </c>
      <c r="AL43" s="508" t="e">
        <f t="shared" ca="1" si="7"/>
        <v>#REF!</v>
      </c>
      <c r="AM43" s="508" t="e">
        <f t="shared" ca="1" si="7"/>
        <v>#REF!</v>
      </c>
      <c r="AN43" s="508" t="e">
        <f t="shared" ca="1" si="7"/>
        <v>#REF!</v>
      </c>
      <c r="AO43" s="508" t="e">
        <f t="shared" ca="1" si="7"/>
        <v>#REF!</v>
      </c>
      <c r="AP43" s="499" t="e">
        <f t="shared" ca="1" si="7"/>
        <v>#REF!</v>
      </c>
      <c r="AR43" s="134">
        <f ca="1">VLOOKUP($B43,U10対戦スケジュール!$G$16:$L$18,3,TRUE)</f>
        <v>7</v>
      </c>
      <c r="AS43" s="134">
        <f ca="1">VLOOKUP($B43,U10対戦スケジュール!$G$16:$L$18,5,TRUE)</f>
        <v>6</v>
      </c>
      <c r="AU43" s="138"/>
      <c r="AV43" s="138"/>
      <c r="AW43" s="138"/>
      <c r="AX43" s="138"/>
      <c r="AY43" s="138"/>
    </row>
    <row r="44" spans="1:51" ht="20.100000000000001" customHeight="1" x14ac:dyDescent="0.4">
      <c r="B44" s="442"/>
      <c r="C44" s="464"/>
      <c r="D44" s="465"/>
      <c r="E44" s="466"/>
      <c r="F44" s="449"/>
      <c r="G44" s="449"/>
      <c r="H44" s="449"/>
      <c r="I44" s="449"/>
      <c r="J44" s="468"/>
      <c r="K44" s="468"/>
      <c r="L44" s="468"/>
      <c r="M44" s="468"/>
      <c r="N44" s="468"/>
      <c r="O44" s="468"/>
      <c r="P44" s="468"/>
      <c r="Q44" s="446"/>
      <c r="R44" s="446"/>
      <c r="S44" s="136">
        <v>2</v>
      </c>
      <c r="T44" s="137" t="s">
        <v>8</v>
      </c>
      <c r="U44" s="136">
        <v>1</v>
      </c>
      <c r="V44" s="446"/>
      <c r="W44" s="446"/>
      <c r="X44" s="468"/>
      <c r="Y44" s="468"/>
      <c r="Z44" s="468"/>
      <c r="AA44" s="468"/>
      <c r="AB44" s="468"/>
      <c r="AC44" s="468"/>
      <c r="AD44" s="468"/>
      <c r="AE44" s="449"/>
      <c r="AF44" s="449"/>
      <c r="AG44" s="449"/>
      <c r="AH44" s="449"/>
      <c r="AI44" s="500"/>
      <c r="AJ44" s="509"/>
      <c r="AK44" s="509"/>
      <c r="AL44" s="509"/>
      <c r="AM44" s="509"/>
      <c r="AN44" s="509"/>
      <c r="AO44" s="509"/>
      <c r="AP44" s="501"/>
      <c r="AU44" s="138"/>
      <c r="AV44" s="138"/>
      <c r="AW44" s="138"/>
      <c r="AX44" s="138"/>
      <c r="AY44" s="138"/>
    </row>
    <row r="45" spans="1:51" ht="20.100000000000001" customHeight="1" x14ac:dyDescent="0.4">
      <c r="B45" s="442" t="str">
        <f t="shared" ref="B45" ca="1" si="8">DBCS(INDIRECT("U10対戦スケジュール!g"&amp;(ROW()-1)/2-5))</f>
        <v>②</v>
      </c>
      <c r="C45" s="461">
        <f t="shared" ref="C45" ca="1" si="9">INDIRECT("U10対戦スケジュール!h"&amp;(ROW()-1)/2-5)</f>
        <v>0.41000000000000003</v>
      </c>
      <c r="D45" s="462"/>
      <c r="E45" s="463"/>
      <c r="F45" s="449"/>
      <c r="G45" s="449"/>
      <c r="H45" s="449"/>
      <c r="I45" s="449"/>
      <c r="J45" s="467" t="str">
        <f ca="1">VLOOKUP(AR45,U10組合せ!$B$10:$I$17,5,TRUE)</f>
        <v>SUGAO・SC</v>
      </c>
      <c r="K45" s="468"/>
      <c r="L45" s="468"/>
      <c r="M45" s="468"/>
      <c r="N45" s="468"/>
      <c r="O45" s="468"/>
      <c r="P45" s="468"/>
      <c r="Q45" s="498">
        <f>IF(OR(S45="",S46=""),"",S45+S46)</f>
        <v>0</v>
      </c>
      <c r="R45" s="499"/>
      <c r="S45" s="136">
        <v>0</v>
      </c>
      <c r="T45" s="137" t="s">
        <v>8</v>
      </c>
      <c r="U45" s="136">
        <v>8</v>
      </c>
      <c r="V45" s="498">
        <f>IF(OR(U45="",U46=""),"",U45+U46)</f>
        <v>12</v>
      </c>
      <c r="W45" s="499"/>
      <c r="X45" s="467" t="str">
        <f ca="1">VLOOKUP(AS45,U10組合せ!$B$10:$I$17,5,TRUE)</f>
        <v>スポルト宇都宮U10</v>
      </c>
      <c r="Y45" s="468"/>
      <c r="Z45" s="468"/>
      <c r="AA45" s="468"/>
      <c r="AB45" s="468"/>
      <c r="AC45" s="468"/>
      <c r="AD45" s="468"/>
      <c r="AE45" s="502"/>
      <c r="AF45" s="503"/>
      <c r="AG45" s="503"/>
      <c r="AH45" s="504"/>
      <c r="AI45" s="498" t="str">
        <f ca="1">DBCS(INDIRECT("U10対戦スケジュール!L"&amp;(ROW()-1)/2-5))</f>
        <v>７／５／６／７</v>
      </c>
      <c r="AJ45" s="508" t="e">
        <f t="shared" ref="AJ45:AP45" ca="1" si="10">DBCS(INDIRECT("U10対戦スケジュール!A"&amp;(ROW())/2+2))</f>
        <v>#REF!</v>
      </c>
      <c r="AK45" s="508" t="e">
        <f t="shared" ca="1" si="10"/>
        <v>#REF!</v>
      </c>
      <c r="AL45" s="508" t="e">
        <f t="shared" ca="1" si="10"/>
        <v>#REF!</v>
      </c>
      <c r="AM45" s="508" t="e">
        <f t="shared" ca="1" si="10"/>
        <v>#REF!</v>
      </c>
      <c r="AN45" s="508" t="e">
        <f t="shared" ca="1" si="10"/>
        <v>#REF!</v>
      </c>
      <c r="AO45" s="508" t="e">
        <f t="shared" ca="1" si="10"/>
        <v>#REF!</v>
      </c>
      <c r="AP45" s="499" t="e">
        <f t="shared" ca="1" si="10"/>
        <v>#REF!</v>
      </c>
      <c r="AR45" s="134">
        <f ca="1">VLOOKUP($B45,U10対戦スケジュール!$G$16:$L$18,3,TRUE)</f>
        <v>5</v>
      </c>
      <c r="AS45" s="134">
        <f ca="1">VLOOKUP($B45,U10対戦スケジュール!$G$16:$L$18,5,TRUE)</f>
        <v>6</v>
      </c>
    </row>
    <row r="46" spans="1:51" ht="20.100000000000001" customHeight="1" x14ac:dyDescent="0.4">
      <c r="B46" s="442"/>
      <c r="C46" s="464"/>
      <c r="D46" s="465"/>
      <c r="E46" s="466"/>
      <c r="F46" s="449"/>
      <c r="G46" s="449"/>
      <c r="H46" s="449"/>
      <c r="I46" s="449"/>
      <c r="J46" s="468"/>
      <c r="K46" s="468"/>
      <c r="L46" s="468"/>
      <c r="M46" s="468"/>
      <c r="N46" s="468"/>
      <c r="O46" s="468"/>
      <c r="P46" s="468"/>
      <c r="Q46" s="500"/>
      <c r="R46" s="501"/>
      <c r="S46" s="136">
        <v>0</v>
      </c>
      <c r="T46" s="137" t="s">
        <v>8</v>
      </c>
      <c r="U46" s="136">
        <v>4</v>
      </c>
      <c r="V46" s="500"/>
      <c r="W46" s="501"/>
      <c r="X46" s="468"/>
      <c r="Y46" s="468"/>
      <c r="Z46" s="468"/>
      <c r="AA46" s="468"/>
      <c r="AB46" s="468"/>
      <c r="AC46" s="468"/>
      <c r="AD46" s="468"/>
      <c r="AE46" s="505"/>
      <c r="AF46" s="506"/>
      <c r="AG46" s="506"/>
      <c r="AH46" s="507"/>
      <c r="AI46" s="500"/>
      <c r="AJ46" s="509"/>
      <c r="AK46" s="509"/>
      <c r="AL46" s="509"/>
      <c r="AM46" s="509"/>
      <c r="AN46" s="509"/>
      <c r="AO46" s="509"/>
      <c r="AP46" s="501"/>
    </row>
    <row r="47" spans="1:51" ht="20.100000000000001" customHeight="1" x14ac:dyDescent="0.4">
      <c r="B47" s="442" t="str">
        <f t="shared" ref="B47" ca="1" si="11">DBCS(INDIRECT("U10対戦スケジュール!g"&amp;(ROW()-1)/2-5))</f>
        <v>③</v>
      </c>
      <c r="C47" s="461">
        <f t="shared" ref="C47" ca="1" si="12">INDIRECT("U10対戦スケジュール!h"&amp;(ROW()-1)/2-5)</f>
        <v>0.44500000000000006</v>
      </c>
      <c r="D47" s="462"/>
      <c r="E47" s="463"/>
      <c r="F47" s="449"/>
      <c r="G47" s="449"/>
      <c r="H47" s="449"/>
      <c r="I47" s="449"/>
      <c r="J47" s="467" t="str">
        <f ca="1">VLOOKUP(AR47,U10組合せ!$B$10:$I$17,5,TRUE)</f>
        <v>SUGAO・SC</v>
      </c>
      <c r="K47" s="468"/>
      <c r="L47" s="468"/>
      <c r="M47" s="468"/>
      <c r="N47" s="468"/>
      <c r="O47" s="468"/>
      <c r="P47" s="468"/>
      <c r="Q47" s="498">
        <f>IF(OR(S47="",S48=""),"",S47+S48)</f>
        <v>0</v>
      </c>
      <c r="R47" s="499"/>
      <c r="S47" s="136">
        <v>0</v>
      </c>
      <c r="T47" s="137" t="s">
        <v>8</v>
      </c>
      <c r="U47" s="136">
        <v>7</v>
      </c>
      <c r="V47" s="498">
        <f>IF(OR(U47="",U48=""),"",U47+U48)</f>
        <v>16</v>
      </c>
      <c r="W47" s="499"/>
      <c r="X47" s="467" t="str">
        <f ca="1">VLOOKUP(AS47,U10組合せ!$B$10:$I$17,5,TRUE)</f>
        <v>FCアリーバ</v>
      </c>
      <c r="Y47" s="468"/>
      <c r="Z47" s="468"/>
      <c r="AA47" s="468"/>
      <c r="AB47" s="468"/>
      <c r="AC47" s="468"/>
      <c r="AD47" s="468"/>
      <c r="AE47" s="502"/>
      <c r="AF47" s="503"/>
      <c r="AG47" s="503"/>
      <c r="AH47" s="504"/>
      <c r="AI47" s="498" t="str">
        <f ca="1">DBCS(INDIRECT("U10対戦スケジュール!L"&amp;(ROW()-1)/2-5))</f>
        <v>６／７／５／６</v>
      </c>
      <c r="AJ47" s="508" t="e">
        <f t="shared" ref="AJ47:AP47" ca="1" si="13">DBCS(INDIRECT("U10対戦スケジュール!A"&amp;(ROW())/2+2))</f>
        <v>#REF!</v>
      </c>
      <c r="AK47" s="508" t="e">
        <f t="shared" ca="1" si="13"/>
        <v>#REF!</v>
      </c>
      <c r="AL47" s="508" t="e">
        <f t="shared" ca="1" si="13"/>
        <v>#REF!</v>
      </c>
      <c r="AM47" s="508" t="e">
        <f t="shared" ca="1" si="13"/>
        <v>#REF!</v>
      </c>
      <c r="AN47" s="508" t="e">
        <f t="shared" ca="1" si="13"/>
        <v>#REF!</v>
      </c>
      <c r="AO47" s="508" t="e">
        <f t="shared" ca="1" si="13"/>
        <v>#REF!</v>
      </c>
      <c r="AP47" s="499" t="e">
        <f t="shared" ca="1" si="13"/>
        <v>#REF!</v>
      </c>
      <c r="AR47" s="134">
        <f ca="1">VLOOKUP($B47,U10対戦スケジュール!$G$16:$L$18,3,TRUE)</f>
        <v>5</v>
      </c>
      <c r="AS47" s="134">
        <f ca="1">VLOOKUP($B47,U10対戦スケジュール!$G$16:$L$18,5,TRUE)</f>
        <v>7</v>
      </c>
    </row>
    <row r="48" spans="1:51" ht="20.100000000000001" customHeight="1" x14ac:dyDescent="0.4">
      <c r="B48" s="442"/>
      <c r="C48" s="464"/>
      <c r="D48" s="465"/>
      <c r="E48" s="466"/>
      <c r="F48" s="449"/>
      <c r="G48" s="449"/>
      <c r="H48" s="449"/>
      <c r="I48" s="449"/>
      <c r="J48" s="468"/>
      <c r="K48" s="468"/>
      <c r="L48" s="468"/>
      <c r="M48" s="468"/>
      <c r="N48" s="468"/>
      <c r="O48" s="468"/>
      <c r="P48" s="468"/>
      <c r="Q48" s="500"/>
      <c r="R48" s="501"/>
      <c r="S48" s="136">
        <v>0</v>
      </c>
      <c r="T48" s="137" t="s">
        <v>8</v>
      </c>
      <c r="U48" s="136">
        <v>9</v>
      </c>
      <c r="V48" s="500"/>
      <c r="W48" s="501"/>
      <c r="X48" s="468"/>
      <c r="Y48" s="468"/>
      <c r="Z48" s="468"/>
      <c r="AA48" s="468"/>
      <c r="AB48" s="468"/>
      <c r="AC48" s="468"/>
      <c r="AD48" s="468"/>
      <c r="AE48" s="505"/>
      <c r="AF48" s="506"/>
      <c r="AG48" s="506"/>
      <c r="AH48" s="507"/>
      <c r="AI48" s="500"/>
      <c r="AJ48" s="509"/>
      <c r="AK48" s="509"/>
      <c r="AL48" s="509"/>
      <c r="AM48" s="509"/>
      <c r="AN48" s="509"/>
      <c r="AO48" s="509"/>
      <c r="AP48" s="501"/>
    </row>
    <row r="49" spans="1:43" ht="18" customHeight="1" x14ac:dyDescent="0.4">
      <c r="B49" s="442" t="str">
        <f t="shared" ref="B49" ca="1" si="14">DBCS(INDIRECT("U10対戦スケジュール!g"&amp;(ROW()-1)/2-5))</f>
        <v/>
      </c>
      <c r="C49" s="461"/>
      <c r="D49" s="462"/>
      <c r="E49" s="463"/>
      <c r="F49" s="449"/>
      <c r="G49" s="449"/>
      <c r="H49" s="449"/>
      <c r="I49" s="449"/>
      <c r="J49" s="467"/>
      <c r="K49" s="468"/>
      <c r="L49" s="468"/>
      <c r="M49" s="468"/>
      <c r="N49" s="468"/>
      <c r="O49" s="468"/>
      <c r="P49" s="468"/>
      <c r="Q49" s="498"/>
      <c r="R49" s="499"/>
      <c r="S49" s="136"/>
      <c r="T49" s="137"/>
      <c r="U49" s="136"/>
      <c r="V49" s="498"/>
      <c r="W49" s="499"/>
      <c r="X49" s="467"/>
      <c r="Y49" s="468"/>
      <c r="Z49" s="468"/>
      <c r="AA49" s="468"/>
      <c r="AB49" s="468"/>
      <c r="AC49" s="468"/>
      <c r="AD49" s="468"/>
      <c r="AE49" s="502"/>
      <c r="AF49" s="503"/>
      <c r="AG49" s="503"/>
      <c r="AH49" s="504"/>
      <c r="AI49" s="498"/>
      <c r="AJ49" s="508"/>
      <c r="AK49" s="508"/>
      <c r="AL49" s="508"/>
      <c r="AM49" s="508"/>
      <c r="AN49" s="508"/>
      <c r="AO49" s="508"/>
      <c r="AP49" s="499"/>
    </row>
    <row r="50" spans="1:43" ht="18" customHeight="1" x14ac:dyDescent="0.4">
      <c r="B50" s="442"/>
      <c r="C50" s="464"/>
      <c r="D50" s="465"/>
      <c r="E50" s="466"/>
      <c r="F50" s="449"/>
      <c r="G50" s="449"/>
      <c r="H50" s="449"/>
      <c r="I50" s="449"/>
      <c r="J50" s="468"/>
      <c r="K50" s="468"/>
      <c r="L50" s="468"/>
      <c r="M50" s="468"/>
      <c r="N50" s="468"/>
      <c r="O50" s="468"/>
      <c r="P50" s="468"/>
      <c r="Q50" s="500"/>
      <c r="R50" s="501"/>
      <c r="S50" s="136"/>
      <c r="T50" s="137"/>
      <c r="U50" s="136"/>
      <c r="V50" s="500"/>
      <c r="W50" s="501"/>
      <c r="X50" s="468"/>
      <c r="Y50" s="468"/>
      <c r="Z50" s="468"/>
      <c r="AA50" s="468"/>
      <c r="AB50" s="468"/>
      <c r="AC50" s="468"/>
      <c r="AD50" s="468"/>
      <c r="AE50" s="505"/>
      <c r="AF50" s="506"/>
      <c r="AG50" s="506"/>
      <c r="AH50" s="507"/>
      <c r="AI50" s="500"/>
      <c r="AJ50" s="509"/>
      <c r="AK50" s="509"/>
      <c r="AL50" s="509"/>
      <c r="AM50" s="509"/>
      <c r="AN50" s="509"/>
      <c r="AO50" s="509"/>
      <c r="AP50" s="501"/>
    </row>
    <row r="51" spans="1:43" ht="18" customHeight="1" x14ac:dyDescent="0.4">
      <c r="B51" s="442"/>
      <c r="C51" s="451"/>
      <c r="D51" s="452"/>
      <c r="E51" s="453"/>
      <c r="F51" s="449"/>
      <c r="G51" s="449"/>
      <c r="H51" s="449"/>
      <c r="I51" s="449"/>
      <c r="J51" s="457"/>
      <c r="K51" s="458"/>
      <c r="L51" s="458"/>
      <c r="M51" s="458"/>
      <c r="N51" s="458"/>
      <c r="O51" s="458"/>
      <c r="P51" s="458"/>
      <c r="Q51" s="446"/>
      <c r="R51" s="446"/>
      <c r="S51" s="136"/>
      <c r="T51" s="137"/>
      <c r="U51" s="136"/>
      <c r="V51" s="446"/>
      <c r="W51" s="446"/>
      <c r="X51" s="457"/>
      <c r="Y51" s="458"/>
      <c r="Z51" s="458"/>
      <c r="AA51" s="458"/>
      <c r="AB51" s="458"/>
      <c r="AC51" s="458"/>
      <c r="AD51" s="458"/>
      <c r="AE51" s="449"/>
      <c r="AF51" s="449"/>
      <c r="AG51" s="449"/>
      <c r="AH51" s="449"/>
      <c r="AI51" s="459"/>
      <c r="AJ51" s="460"/>
      <c r="AK51" s="460"/>
      <c r="AL51" s="460"/>
      <c r="AM51" s="460"/>
      <c r="AN51" s="460"/>
      <c r="AO51" s="460"/>
      <c r="AP51" s="460"/>
    </row>
    <row r="52" spans="1:43" ht="18" customHeight="1" x14ac:dyDescent="0.4">
      <c r="B52" s="442"/>
      <c r="C52" s="454"/>
      <c r="D52" s="455"/>
      <c r="E52" s="456"/>
      <c r="F52" s="449"/>
      <c r="G52" s="449"/>
      <c r="H52" s="449"/>
      <c r="I52" s="449"/>
      <c r="J52" s="458"/>
      <c r="K52" s="458"/>
      <c r="L52" s="458"/>
      <c r="M52" s="458"/>
      <c r="N52" s="458"/>
      <c r="O52" s="458"/>
      <c r="P52" s="458"/>
      <c r="Q52" s="446"/>
      <c r="R52" s="446"/>
      <c r="S52" s="136"/>
      <c r="T52" s="137"/>
      <c r="U52" s="136"/>
      <c r="V52" s="446"/>
      <c r="W52" s="446"/>
      <c r="X52" s="458"/>
      <c r="Y52" s="458"/>
      <c r="Z52" s="458"/>
      <c r="AA52" s="458"/>
      <c r="AB52" s="458"/>
      <c r="AC52" s="458"/>
      <c r="AD52" s="458"/>
      <c r="AE52" s="449"/>
      <c r="AF52" s="449"/>
      <c r="AG52" s="449"/>
      <c r="AH52" s="449"/>
      <c r="AI52" s="460"/>
      <c r="AJ52" s="460"/>
      <c r="AK52" s="460"/>
      <c r="AL52" s="460"/>
      <c r="AM52" s="460"/>
      <c r="AN52" s="460"/>
      <c r="AO52" s="460"/>
      <c r="AP52" s="460"/>
    </row>
    <row r="53" spans="1:43" ht="18" customHeight="1" x14ac:dyDescent="0.4">
      <c r="B53" s="442"/>
      <c r="C53" s="451"/>
      <c r="D53" s="452"/>
      <c r="E53" s="453"/>
      <c r="F53" s="449"/>
      <c r="G53" s="449"/>
      <c r="H53" s="449"/>
      <c r="I53" s="449"/>
      <c r="J53" s="457"/>
      <c r="K53" s="458"/>
      <c r="L53" s="458"/>
      <c r="M53" s="458"/>
      <c r="N53" s="458"/>
      <c r="O53" s="458"/>
      <c r="P53" s="458"/>
      <c r="Q53" s="446"/>
      <c r="R53" s="446"/>
      <c r="S53" s="136"/>
      <c r="T53" s="137"/>
      <c r="U53" s="136"/>
      <c r="V53" s="446"/>
      <c r="W53" s="446"/>
      <c r="X53" s="457"/>
      <c r="Y53" s="458"/>
      <c r="Z53" s="458"/>
      <c r="AA53" s="458"/>
      <c r="AB53" s="458"/>
      <c r="AC53" s="458"/>
      <c r="AD53" s="458"/>
      <c r="AE53" s="449"/>
      <c r="AF53" s="449"/>
      <c r="AG53" s="449"/>
      <c r="AH53" s="449"/>
      <c r="AI53" s="459"/>
      <c r="AJ53" s="460"/>
      <c r="AK53" s="460"/>
      <c r="AL53" s="460"/>
      <c r="AM53" s="460"/>
      <c r="AN53" s="460"/>
      <c r="AO53" s="460"/>
      <c r="AP53" s="460"/>
    </row>
    <row r="54" spans="1:43" ht="18" customHeight="1" x14ac:dyDescent="0.4">
      <c r="B54" s="442"/>
      <c r="C54" s="454"/>
      <c r="D54" s="455"/>
      <c r="E54" s="456"/>
      <c r="F54" s="449"/>
      <c r="G54" s="449"/>
      <c r="H54" s="449"/>
      <c r="I54" s="449"/>
      <c r="J54" s="458"/>
      <c r="K54" s="458"/>
      <c r="L54" s="458"/>
      <c r="M54" s="458"/>
      <c r="N54" s="458"/>
      <c r="O54" s="458"/>
      <c r="P54" s="458"/>
      <c r="Q54" s="446"/>
      <c r="R54" s="446"/>
      <c r="S54" s="136"/>
      <c r="T54" s="137"/>
      <c r="U54" s="136"/>
      <c r="V54" s="446"/>
      <c r="W54" s="446"/>
      <c r="X54" s="458"/>
      <c r="Y54" s="458"/>
      <c r="Z54" s="458"/>
      <c r="AA54" s="458"/>
      <c r="AB54" s="458"/>
      <c r="AC54" s="458"/>
      <c r="AD54" s="458"/>
      <c r="AE54" s="449"/>
      <c r="AF54" s="449"/>
      <c r="AG54" s="449"/>
      <c r="AH54" s="449"/>
      <c r="AI54" s="460"/>
      <c r="AJ54" s="460"/>
      <c r="AK54" s="460"/>
      <c r="AL54" s="460"/>
      <c r="AM54" s="460"/>
      <c r="AN54" s="460"/>
      <c r="AO54" s="460"/>
      <c r="AP54" s="460"/>
    </row>
    <row r="55" spans="1:43" ht="18" customHeight="1" x14ac:dyDescent="0.4">
      <c r="B55" s="442"/>
      <c r="C55" s="450"/>
      <c r="D55" s="450"/>
      <c r="E55" s="450"/>
      <c r="F55" s="449"/>
      <c r="G55" s="449"/>
      <c r="H55" s="449"/>
      <c r="I55" s="449"/>
      <c r="J55" s="447"/>
      <c r="K55" s="448"/>
      <c r="L55" s="448"/>
      <c r="M55" s="448"/>
      <c r="N55" s="448"/>
      <c r="O55" s="448"/>
      <c r="P55" s="448"/>
      <c r="Q55" s="446"/>
      <c r="R55" s="446"/>
      <c r="S55" s="136"/>
      <c r="T55" s="137"/>
      <c r="U55" s="136"/>
      <c r="V55" s="446"/>
      <c r="W55" s="446"/>
      <c r="X55" s="447"/>
      <c r="Y55" s="448"/>
      <c r="Z55" s="448"/>
      <c r="AA55" s="448"/>
      <c r="AB55" s="448"/>
      <c r="AC55" s="448"/>
      <c r="AD55" s="448"/>
      <c r="AE55" s="449"/>
      <c r="AF55" s="449"/>
      <c r="AG55" s="449"/>
      <c r="AH55" s="449"/>
      <c r="AI55" s="446"/>
      <c r="AJ55" s="449"/>
      <c r="AK55" s="449"/>
      <c r="AL55" s="449"/>
      <c r="AM55" s="449"/>
      <c r="AN55" s="449"/>
      <c r="AO55" s="449"/>
      <c r="AP55" s="449"/>
    </row>
    <row r="56" spans="1:43" ht="18" customHeight="1" x14ac:dyDescent="0.4">
      <c r="B56" s="442"/>
      <c r="C56" s="450"/>
      <c r="D56" s="450"/>
      <c r="E56" s="450"/>
      <c r="F56" s="449"/>
      <c r="G56" s="449"/>
      <c r="H56" s="449"/>
      <c r="I56" s="449"/>
      <c r="J56" s="448"/>
      <c r="K56" s="448"/>
      <c r="L56" s="448"/>
      <c r="M56" s="448"/>
      <c r="N56" s="448"/>
      <c r="O56" s="448"/>
      <c r="P56" s="448"/>
      <c r="Q56" s="446"/>
      <c r="R56" s="446"/>
      <c r="S56" s="136"/>
      <c r="T56" s="137"/>
      <c r="U56" s="136"/>
      <c r="V56" s="446"/>
      <c r="W56" s="446"/>
      <c r="X56" s="448"/>
      <c r="Y56" s="448"/>
      <c r="Z56" s="448"/>
      <c r="AA56" s="448"/>
      <c r="AB56" s="448"/>
      <c r="AC56" s="448"/>
      <c r="AD56" s="448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</row>
    <row r="57" spans="1:43" ht="15.75" customHeight="1" x14ac:dyDescent="0.4">
      <c r="A57" s="138"/>
      <c r="B57" s="139"/>
      <c r="C57" s="140"/>
      <c r="D57" s="140"/>
      <c r="E57" s="140"/>
      <c r="F57" s="139"/>
      <c r="G57" s="139"/>
      <c r="H57" s="139"/>
      <c r="I57" s="139"/>
      <c r="J57" s="139"/>
      <c r="K57" s="141"/>
      <c r="L57" s="141"/>
      <c r="M57" s="142"/>
      <c r="N57" s="143"/>
      <c r="O57" s="142"/>
      <c r="P57" s="141"/>
      <c r="Q57" s="141"/>
      <c r="R57" s="139"/>
      <c r="S57" s="139"/>
      <c r="T57" s="139"/>
      <c r="U57" s="139"/>
      <c r="V57" s="139"/>
      <c r="W57" s="144"/>
      <c r="X57" s="144"/>
      <c r="Y57" s="144"/>
      <c r="Z57" s="144"/>
      <c r="AA57" s="144"/>
      <c r="AB57" s="144"/>
      <c r="AC57" s="138"/>
    </row>
    <row r="58" spans="1:43" ht="20.25" customHeight="1" x14ac:dyDescent="0.4">
      <c r="D58" s="442" t="s">
        <v>9</v>
      </c>
      <c r="E58" s="442"/>
      <c r="F58" s="442"/>
      <c r="G58" s="442"/>
      <c r="H58" s="442"/>
      <c r="I58" s="442"/>
      <c r="J58" s="442" t="s">
        <v>5</v>
      </c>
      <c r="K58" s="442"/>
      <c r="L58" s="442"/>
      <c r="M58" s="442"/>
      <c r="N58" s="442"/>
      <c r="O58" s="442"/>
      <c r="P58" s="442"/>
      <c r="Q58" s="442"/>
      <c r="R58" s="443" t="s">
        <v>10</v>
      </c>
      <c r="S58" s="443"/>
      <c r="T58" s="443"/>
      <c r="U58" s="443"/>
      <c r="V58" s="443"/>
      <c r="W58" s="443"/>
      <c r="X58" s="443"/>
      <c r="Y58" s="443"/>
      <c r="Z58" s="443"/>
      <c r="AA58" s="444" t="s">
        <v>11</v>
      </c>
      <c r="AB58" s="444"/>
      <c r="AC58" s="444"/>
      <c r="AD58" s="444" t="s">
        <v>12</v>
      </c>
      <c r="AE58" s="444"/>
      <c r="AF58" s="444"/>
      <c r="AG58" s="444"/>
      <c r="AH58" s="444"/>
      <c r="AI58" s="444"/>
      <c r="AJ58" s="444"/>
      <c r="AK58" s="444"/>
      <c r="AL58" s="444"/>
      <c r="AM58" s="444"/>
    </row>
    <row r="59" spans="1:43" ht="30" customHeight="1" x14ac:dyDescent="0.4">
      <c r="D59" s="442" t="s">
        <v>13</v>
      </c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3"/>
      <c r="S59" s="443"/>
      <c r="T59" s="443"/>
      <c r="U59" s="443"/>
      <c r="V59" s="443"/>
      <c r="W59" s="443"/>
      <c r="X59" s="443"/>
      <c r="Y59" s="443"/>
      <c r="Z59" s="443"/>
      <c r="AA59" s="445"/>
      <c r="AB59" s="445"/>
      <c r="AC59" s="445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</row>
    <row r="60" spans="1:43" ht="30" customHeight="1" x14ac:dyDescent="0.4">
      <c r="D60" s="442" t="s">
        <v>13</v>
      </c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3"/>
      <c r="S60" s="443"/>
      <c r="T60" s="443"/>
      <c r="U60" s="443"/>
      <c r="V60" s="443"/>
      <c r="W60" s="443"/>
      <c r="X60" s="443"/>
      <c r="Y60" s="443"/>
      <c r="Z60" s="443"/>
      <c r="AA60" s="444"/>
      <c r="AB60" s="444"/>
      <c r="AC60" s="444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</row>
    <row r="61" spans="1:43" ht="30" customHeight="1" x14ac:dyDescent="0.4">
      <c r="D61" s="442" t="s">
        <v>13</v>
      </c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3"/>
      <c r="S61" s="443"/>
      <c r="T61" s="443"/>
      <c r="U61" s="443"/>
      <c r="V61" s="443"/>
      <c r="W61" s="443"/>
      <c r="X61" s="443"/>
      <c r="Y61" s="443"/>
      <c r="Z61" s="443"/>
      <c r="AA61" s="444"/>
      <c r="AB61" s="444"/>
      <c r="AC61" s="444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</row>
    <row r="63" spans="1:43" ht="14.25" customHeight="1" x14ac:dyDescent="0.4">
      <c r="A63" s="274"/>
      <c r="B63" s="489" t="str">
        <f>U10組合せ!$B$1</f>
        <v>ＪＦＡ　Ｕ-１０サッカーリーグ2021（in栃木） 宇都宮地区リーグ戦（前期）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90" t="str">
        <f>"【"&amp;(U10組合せ!$F$3)&amp;"】"</f>
        <v>【Ｂ ブロック】</v>
      </c>
      <c r="AD63" s="490"/>
      <c r="AE63" s="490"/>
      <c r="AF63" s="490"/>
      <c r="AG63" s="490"/>
      <c r="AH63" s="490"/>
      <c r="AI63" s="490"/>
      <c r="AJ63" s="490"/>
      <c r="AK63" s="490" t="str">
        <f>"第"&amp;(U10組合せ!$F$25)</f>
        <v>第２節</v>
      </c>
      <c r="AL63" s="490"/>
      <c r="AM63" s="490"/>
      <c r="AN63" s="490"/>
      <c r="AO63" s="490"/>
      <c r="AP63" s="491" t="s">
        <v>195</v>
      </c>
      <c r="AQ63" s="492"/>
    </row>
    <row r="64" spans="1:43" ht="22.5" customHeight="1" x14ac:dyDescent="0.4">
      <c r="A64" s="274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2"/>
      <c r="AQ64" s="492"/>
    </row>
    <row r="65" spans="2:45" ht="30.75" customHeight="1" x14ac:dyDescent="0.4">
      <c r="C65" s="477" t="s">
        <v>1</v>
      </c>
      <c r="D65" s="477"/>
      <c r="E65" s="477"/>
      <c r="F65" s="477"/>
      <c r="G65" s="478" t="str">
        <f>U10組合せ!G25</f>
        <v>姿川中央小</v>
      </c>
      <c r="H65" s="479"/>
      <c r="I65" s="479"/>
      <c r="J65" s="479"/>
      <c r="K65" s="479"/>
      <c r="L65" s="479"/>
      <c r="M65" s="479"/>
      <c r="N65" s="479"/>
      <c r="O65" s="480"/>
      <c r="P65" s="477" t="s">
        <v>0</v>
      </c>
      <c r="Q65" s="477"/>
      <c r="R65" s="477"/>
      <c r="S65" s="477"/>
      <c r="T65" s="481" t="str">
        <f>S68</f>
        <v>SUGAO・SC</v>
      </c>
      <c r="U65" s="481"/>
      <c r="V65" s="481"/>
      <c r="W65" s="481"/>
      <c r="X65" s="481"/>
      <c r="Y65" s="481"/>
      <c r="Z65" s="481"/>
      <c r="AA65" s="481"/>
      <c r="AB65" s="481"/>
      <c r="AC65" s="477" t="s">
        <v>2</v>
      </c>
      <c r="AD65" s="477"/>
      <c r="AE65" s="477"/>
      <c r="AF65" s="477"/>
      <c r="AG65" s="482">
        <f>U10組合せ!B$25</f>
        <v>44310</v>
      </c>
      <c r="AH65" s="483"/>
      <c r="AI65" s="483"/>
      <c r="AJ65" s="483"/>
      <c r="AK65" s="483"/>
      <c r="AL65" s="483"/>
      <c r="AM65" s="484" t="str">
        <f>"（"&amp;TEXT(AG65,"aaa")&amp;"）"</f>
        <v>（土）</v>
      </c>
      <c r="AN65" s="484"/>
      <c r="AO65" s="485"/>
    </row>
    <row r="66" spans="2:45" ht="15" customHeight="1" x14ac:dyDescent="0.4">
      <c r="C66" s="134" t="str">
        <f>U10組合せ!G26</f>
        <v>B2456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3"/>
      <c r="X66" s="133"/>
      <c r="Y66" s="133"/>
      <c r="Z66" s="133"/>
      <c r="AA66" s="133"/>
      <c r="AB66" s="133"/>
      <c r="AC66" s="133"/>
    </row>
    <row r="67" spans="2:45" s="155" customFormat="1" ht="29.25" customHeight="1" x14ac:dyDescent="0.4">
      <c r="B67" s="134"/>
      <c r="C67" s="486">
        <v>1</v>
      </c>
      <c r="D67" s="486"/>
      <c r="E67" s="487" t="str">
        <f>VLOOKUP(C67,U10組合せ!$B$10:$I$17,5,TRUE)</f>
        <v>宝木キッカーズ</v>
      </c>
      <c r="F67" s="487"/>
      <c r="G67" s="487"/>
      <c r="H67" s="487"/>
      <c r="I67" s="487"/>
      <c r="J67" s="487"/>
      <c r="K67" s="487"/>
      <c r="L67" s="487"/>
      <c r="M67" s="487"/>
      <c r="N67" s="487"/>
      <c r="O67" s="148"/>
      <c r="P67" s="148"/>
      <c r="Q67" s="481">
        <v>4</v>
      </c>
      <c r="R67" s="481"/>
      <c r="S67" s="488" t="str">
        <f>VLOOKUP(Q67,U10組合せ!$B$10:$I$17,5,TRUE)</f>
        <v>FCアネーロ・U-10</v>
      </c>
      <c r="T67" s="488"/>
      <c r="U67" s="488"/>
      <c r="V67" s="488"/>
      <c r="W67" s="488"/>
      <c r="X67" s="488"/>
      <c r="Y67" s="488"/>
      <c r="Z67" s="488"/>
      <c r="AA67" s="488"/>
      <c r="AB67" s="488"/>
      <c r="AC67" s="131"/>
      <c r="AD67" s="132"/>
      <c r="AE67" s="486">
        <v>7</v>
      </c>
      <c r="AF67" s="486"/>
      <c r="AG67" s="487" t="str">
        <f>VLOOKUP(AE67,U10組合せ!$B$10:$I$17,5,TRUE)</f>
        <v>FCアリーバ</v>
      </c>
      <c r="AH67" s="487"/>
      <c r="AI67" s="487"/>
      <c r="AJ67" s="487"/>
      <c r="AK67" s="487"/>
      <c r="AL67" s="487"/>
      <c r="AM67" s="487"/>
      <c r="AN67" s="487"/>
      <c r="AO67" s="487"/>
      <c r="AP67" s="487"/>
      <c r="AR67" s="155">
        <f>74/2</f>
        <v>37</v>
      </c>
    </row>
    <row r="68" spans="2:45" s="155" customFormat="1" ht="29.25" customHeight="1" x14ac:dyDescent="0.4">
      <c r="C68" s="481">
        <v>2</v>
      </c>
      <c r="D68" s="481"/>
      <c r="E68" s="488" t="str">
        <f>VLOOKUP(C68,U10組合せ!$B$10:$I$17,5,TRUE)</f>
        <v>栃木SC　U-10</v>
      </c>
      <c r="F68" s="488"/>
      <c r="G68" s="488"/>
      <c r="H68" s="488"/>
      <c r="I68" s="488"/>
      <c r="J68" s="488"/>
      <c r="K68" s="488"/>
      <c r="L68" s="488"/>
      <c r="M68" s="488"/>
      <c r="N68" s="488"/>
      <c r="O68" s="148"/>
      <c r="P68" s="148"/>
      <c r="Q68" s="481">
        <v>5</v>
      </c>
      <c r="R68" s="481"/>
      <c r="S68" s="488" t="str">
        <f>VLOOKUP(Q68,U10組合せ!$B$10:$I$17,5,TRUE)</f>
        <v>SUGAO・SC</v>
      </c>
      <c r="T68" s="488"/>
      <c r="U68" s="488"/>
      <c r="V68" s="488"/>
      <c r="W68" s="488"/>
      <c r="X68" s="488"/>
      <c r="Y68" s="488"/>
      <c r="Z68" s="488"/>
      <c r="AA68" s="488"/>
      <c r="AB68" s="488"/>
      <c r="AC68" s="131"/>
      <c r="AD68" s="132"/>
      <c r="AE68" s="486">
        <v>8</v>
      </c>
      <c r="AF68" s="486"/>
      <c r="AG68" s="487"/>
      <c r="AH68" s="487"/>
      <c r="AI68" s="487"/>
      <c r="AJ68" s="487"/>
      <c r="AK68" s="487"/>
      <c r="AL68" s="487"/>
      <c r="AM68" s="487"/>
      <c r="AN68" s="487"/>
      <c r="AO68" s="487"/>
      <c r="AP68" s="487"/>
      <c r="AR68" s="155">
        <v>27</v>
      </c>
    </row>
    <row r="69" spans="2:45" s="155" customFormat="1" ht="29.25" customHeight="1" x14ac:dyDescent="0.4">
      <c r="C69" s="486">
        <v>3</v>
      </c>
      <c r="D69" s="486"/>
      <c r="E69" s="487" t="str">
        <f>VLOOKUP(C69,U10組合せ!$B$10:$I$17,5,TRUE)</f>
        <v>石井FC</v>
      </c>
      <c r="F69" s="487"/>
      <c r="G69" s="487"/>
      <c r="H69" s="487"/>
      <c r="I69" s="487"/>
      <c r="J69" s="487"/>
      <c r="K69" s="487"/>
      <c r="L69" s="487"/>
      <c r="M69" s="487"/>
      <c r="N69" s="487"/>
      <c r="O69" s="148"/>
      <c r="P69" s="148"/>
      <c r="Q69" s="481">
        <v>6</v>
      </c>
      <c r="R69" s="481"/>
      <c r="S69" s="488" t="str">
        <f>VLOOKUP(Q69,U10組合せ!$B$10:$I$17,5,TRUE)</f>
        <v>スポルト宇都宮U10</v>
      </c>
      <c r="T69" s="488"/>
      <c r="U69" s="488"/>
      <c r="V69" s="488"/>
      <c r="W69" s="488"/>
      <c r="X69" s="488"/>
      <c r="Y69" s="488"/>
      <c r="Z69" s="488"/>
      <c r="AA69" s="488"/>
      <c r="AB69" s="488"/>
      <c r="AC69" s="131"/>
      <c r="AD69" s="132"/>
      <c r="AE69" s="486">
        <v>9</v>
      </c>
      <c r="AF69" s="486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R69" s="155">
        <f>AR67-AR68</f>
        <v>10</v>
      </c>
    </row>
    <row r="70" spans="2:45" ht="8.25" customHeight="1" x14ac:dyDescent="0.4">
      <c r="O70" s="138"/>
      <c r="P70" s="138"/>
      <c r="AC70" s="133"/>
    </row>
    <row r="71" spans="2:45" ht="8.25" customHeight="1" x14ac:dyDescent="0.4">
      <c r="C71" s="149"/>
      <c r="D71" s="150"/>
      <c r="E71" s="150"/>
      <c r="F71" s="150"/>
      <c r="G71" s="150"/>
      <c r="H71" s="150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50"/>
      <c r="U71" s="138"/>
      <c r="V71" s="150"/>
      <c r="W71" s="138"/>
      <c r="X71" s="150"/>
      <c r="Y71" s="138"/>
      <c r="Z71" s="150"/>
      <c r="AA71" s="138"/>
      <c r="AB71" s="150"/>
      <c r="AC71" s="150"/>
    </row>
    <row r="72" spans="2:45" ht="21" customHeight="1" x14ac:dyDescent="0.4">
      <c r="B72" s="134" t="s">
        <v>181</v>
      </c>
    </row>
    <row r="73" spans="2:45" ht="20.25" customHeight="1" x14ac:dyDescent="0.4">
      <c r="B73" s="135"/>
      <c r="C73" s="469" t="s">
        <v>3</v>
      </c>
      <c r="D73" s="469"/>
      <c r="E73" s="469"/>
      <c r="F73" s="470" t="s">
        <v>4</v>
      </c>
      <c r="G73" s="470"/>
      <c r="H73" s="470"/>
      <c r="I73" s="470"/>
      <c r="J73" s="469" t="s">
        <v>5</v>
      </c>
      <c r="K73" s="471"/>
      <c r="L73" s="471"/>
      <c r="M73" s="471"/>
      <c r="N73" s="471"/>
      <c r="O73" s="471"/>
      <c r="P73" s="471"/>
      <c r="Q73" s="469" t="s">
        <v>40</v>
      </c>
      <c r="R73" s="469"/>
      <c r="S73" s="469"/>
      <c r="T73" s="469"/>
      <c r="U73" s="469"/>
      <c r="V73" s="469"/>
      <c r="W73" s="469"/>
      <c r="X73" s="469" t="s">
        <v>5</v>
      </c>
      <c r="Y73" s="471"/>
      <c r="Z73" s="471"/>
      <c r="AA73" s="471"/>
      <c r="AB73" s="471"/>
      <c r="AC73" s="471"/>
      <c r="AD73" s="471"/>
      <c r="AE73" s="470" t="s">
        <v>4</v>
      </c>
      <c r="AF73" s="470"/>
      <c r="AG73" s="470"/>
      <c r="AH73" s="470"/>
      <c r="AI73" s="469" t="s">
        <v>7</v>
      </c>
      <c r="AJ73" s="469"/>
      <c r="AK73" s="471"/>
      <c r="AL73" s="471"/>
      <c r="AM73" s="471"/>
      <c r="AN73" s="471"/>
      <c r="AO73" s="471"/>
      <c r="AP73" s="471"/>
    </row>
    <row r="74" spans="2:45" ht="20.100000000000001" customHeight="1" x14ac:dyDescent="0.4">
      <c r="B74" s="442" t="str">
        <f ca="1">DBCS(INDIRECT("U10対戦スケジュール!G"&amp;(ROW())/2-AR$69))</f>
        <v>①</v>
      </c>
      <c r="C74" s="461">
        <f ca="1">VLOOKUP(B74,U10対戦スケジュール!G$27:L$30,2,TRUE)</f>
        <v>0.375</v>
      </c>
      <c r="D74" s="462"/>
      <c r="E74" s="463"/>
      <c r="F74" s="449"/>
      <c r="G74" s="449"/>
      <c r="H74" s="449"/>
      <c r="I74" s="449"/>
      <c r="J74" s="467" t="str">
        <f ca="1">VLOOKUP(AR74,U10組合せ!$B$10:$I$17,5,TRUE)</f>
        <v>栃木SC　U-10</v>
      </c>
      <c r="K74" s="468"/>
      <c r="L74" s="468"/>
      <c r="M74" s="468"/>
      <c r="N74" s="468"/>
      <c r="O74" s="468"/>
      <c r="P74" s="468"/>
      <c r="Q74" s="446">
        <f>IF(OR(S74="",S75=""),"",S74+S75)</f>
        <v>9</v>
      </c>
      <c r="R74" s="446"/>
      <c r="S74" s="136">
        <v>4</v>
      </c>
      <c r="T74" s="137" t="s">
        <v>8</v>
      </c>
      <c r="U74" s="136">
        <v>0</v>
      </c>
      <c r="V74" s="446">
        <f>IF(OR(U74="",U75=""),"",U74+U75)</f>
        <v>0</v>
      </c>
      <c r="W74" s="446"/>
      <c r="X74" s="467" t="str">
        <f ca="1">VLOOKUP(AS74,U10組合せ!$B$10:$I$17,5,TRUE)</f>
        <v>スポルト宇都宮U10</v>
      </c>
      <c r="Y74" s="468"/>
      <c r="Z74" s="468"/>
      <c r="AA74" s="468"/>
      <c r="AB74" s="468"/>
      <c r="AC74" s="468"/>
      <c r="AD74" s="468"/>
      <c r="AE74" s="449"/>
      <c r="AF74" s="449"/>
      <c r="AG74" s="449"/>
      <c r="AH74" s="449"/>
      <c r="AI74" s="446" t="str">
        <f ca="1">DBCS(VLOOKUP(B74,U10対戦スケジュール!G$27:L$30,6,TRUE))</f>
        <v>４／５／５／４</v>
      </c>
      <c r="AJ74" s="449" t="e">
        <f>VLOOKUP(#REF!,U10対戦スケジュール!#REF!,3,TRUE)</f>
        <v>#REF!</v>
      </c>
      <c r="AK74" s="449" t="e">
        <f>VLOOKUP(#REF!,U10対戦スケジュール!#REF!,3,TRUE)</f>
        <v>#REF!</v>
      </c>
      <c r="AL74" s="449" t="e">
        <f>VLOOKUP(#REF!,U10対戦スケジュール!#REF!,3,TRUE)</f>
        <v>#REF!</v>
      </c>
      <c r="AM74" s="449" t="e">
        <f>VLOOKUP(#REF!,U10対戦スケジュール!#REF!,3,TRUE)</f>
        <v>#REF!</v>
      </c>
      <c r="AN74" s="449" t="e">
        <f>VLOOKUP(#REF!,U10対戦スケジュール!#REF!,3,TRUE)</f>
        <v>#REF!</v>
      </c>
      <c r="AO74" s="449" t="e">
        <f>VLOOKUP(#REF!,U10対戦スケジュール!#REF!,3,TRUE)</f>
        <v>#REF!</v>
      </c>
      <c r="AP74" s="449" t="e">
        <f>VLOOKUP(#REF!,U10対戦スケジュール!#REF!,3,TRUE)</f>
        <v>#REF!</v>
      </c>
      <c r="AR74" s="151">
        <f ca="1">VLOOKUP($B74,U10対戦スケジュール!$G$27:$L$30,3,TRUE)</f>
        <v>2</v>
      </c>
      <c r="AS74" s="151">
        <f ca="1">VLOOKUP($B74,U10対戦スケジュール!$G$27:$L$30,5,TRUE)</f>
        <v>6</v>
      </c>
    </row>
    <row r="75" spans="2:45" ht="20.100000000000001" customHeight="1" x14ac:dyDescent="0.4">
      <c r="B75" s="442"/>
      <c r="C75" s="464"/>
      <c r="D75" s="465"/>
      <c r="E75" s="466"/>
      <c r="F75" s="449"/>
      <c r="G75" s="449"/>
      <c r="H75" s="449"/>
      <c r="I75" s="449"/>
      <c r="J75" s="468"/>
      <c r="K75" s="468"/>
      <c r="L75" s="468"/>
      <c r="M75" s="468"/>
      <c r="N75" s="468"/>
      <c r="O75" s="468"/>
      <c r="P75" s="468"/>
      <c r="Q75" s="446"/>
      <c r="R75" s="446"/>
      <c r="S75" s="136">
        <v>5</v>
      </c>
      <c r="T75" s="137" t="s">
        <v>8</v>
      </c>
      <c r="U75" s="136">
        <v>0</v>
      </c>
      <c r="V75" s="446"/>
      <c r="W75" s="446"/>
      <c r="X75" s="468"/>
      <c r="Y75" s="468"/>
      <c r="Z75" s="468"/>
      <c r="AA75" s="468"/>
      <c r="AB75" s="468"/>
      <c r="AC75" s="468"/>
      <c r="AD75" s="468"/>
      <c r="AE75" s="449"/>
      <c r="AF75" s="449"/>
      <c r="AG75" s="449"/>
      <c r="AH75" s="449"/>
      <c r="AI75" s="449" t="e">
        <f>VLOOKUP(#REF!,U10対戦スケジュール!#REF!,3,TRUE)</f>
        <v>#REF!</v>
      </c>
      <c r="AJ75" s="449" t="e">
        <f>VLOOKUP(#REF!,U10対戦スケジュール!#REF!,3,TRUE)</f>
        <v>#REF!</v>
      </c>
      <c r="AK75" s="449" t="e">
        <f>VLOOKUP(#REF!,U10対戦スケジュール!#REF!,3,TRUE)</f>
        <v>#REF!</v>
      </c>
      <c r="AL75" s="449" t="e">
        <f>VLOOKUP(#REF!,U10対戦スケジュール!#REF!,3,TRUE)</f>
        <v>#REF!</v>
      </c>
      <c r="AM75" s="449" t="e">
        <f>VLOOKUP(#REF!,U10対戦スケジュール!#REF!,3,TRUE)</f>
        <v>#REF!</v>
      </c>
      <c r="AN75" s="449" t="e">
        <f>VLOOKUP(#REF!,U10対戦スケジュール!#REF!,3,TRUE)</f>
        <v>#REF!</v>
      </c>
      <c r="AO75" s="449" t="e">
        <f>VLOOKUP(#REF!,U10対戦スケジュール!#REF!,3,TRUE)</f>
        <v>#REF!</v>
      </c>
      <c r="AP75" s="449" t="e">
        <f>VLOOKUP(#REF!,U10対戦スケジュール!#REF!,3,TRUE)</f>
        <v>#REF!</v>
      </c>
      <c r="AR75" s="151"/>
      <c r="AS75" s="151"/>
    </row>
    <row r="76" spans="2:45" ht="20.100000000000001" customHeight="1" x14ac:dyDescent="0.4">
      <c r="B76" s="442" t="str">
        <f ca="1">DBCS(INDIRECT("U10対戦スケジュール!G"&amp;(ROW())/2-AR$69))</f>
        <v>②</v>
      </c>
      <c r="C76" s="461">
        <f ca="1">VLOOKUP(B76,U10対戦スケジュール!G$27:L$30,2,TRUE)</f>
        <v>0.40279999999999999</v>
      </c>
      <c r="D76" s="462"/>
      <c r="E76" s="463"/>
      <c r="F76" s="449"/>
      <c r="G76" s="449"/>
      <c r="H76" s="449"/>
      <c r="I76" s="449"/>
      <c r="J76" s="467" t="str">
        <f ca="1">VLOOKUP(AR76,U10組合せ!$B$10:$I$17,5,TRUE)</f>
        <v>FCアネーロ・U-10</v>
      </c>
      <c r="K76" s="468"/>
      <c r="L76" s="468"/>
      <c r="M76" s="468"/>
      <c r="N76" s="468"/>
      <c r="O76" s="468"/>
      <c r="P76" s="468"/>
      <c r="Q76" s="446">
        <f>IF(OR(S76="",S77=""),"",S76+S77)</f>
        <v>9</v>
      </c>
      <c r="R76" s="446"/>
      <c r="S76" s="136">
        <v>5</v>
      </c>
      <c r="T76" s="137" t="s">
        <v>8</v>
      </c>
      <c r="U76" s="136">
        <v>0</v>
      </c>
      <c r="V76" s="446">
        <f>IF(OR(U76="",U77=""),"",U76+U77)</f>
        <v>0</v>
      </c>
      <c r="W76" s="446"/>
      <c r="X76" s="467" t="str">
        <f ca="1">VLOOKUP(AS76,U10組合せ!$B$10:$I$17,5,TRUE)</f>
        <v>SUGAO・SC</v>
      </c>
      <c r="Y76" s="468"/>
      <c r="Z76" s="468"/>
      <c r="AA76" s="468"/>
      <c r="AB76" s="468"/>
      <c r="AC76" s="468"/>
      <c r="AD76" s="468"/>
      <c r="AE76" s="449"/>
      <c r="AF76" s="449"/>
      <c r="AG76" s="449"/>
      <c r="AH76" s="449"/>
      <c r="AI76" s="446" t="str">
        <f ca="1">DBCS(VLOOKUP(B76,U10対戦スケジュール!G$27:L$30,6,TRUE))</f>
        <v>２／６／６／２</v>
      </c>
      <c r="AJ76" s="449" t="e">
        <f>VLOOKUP(#REF!,U10対戦スケジュール!#REF!,3,TRUE)</f>
        <v>#REF!</v>
      </c>
      <c r="AK76" s="449" t="e">
        <f>VLOOKUP(#REF!,U10対戦スケジュール!#REF!,3,TRUE)</f>
        <v>#REF!</v>
      </c>
      <c r="AL76" s="449" t="e">
        <f>VLOOKUP(#REF!,U10対戦スケジュール!#REF!,3,TRUE)</f>
        <v>#REF!</v>
      </c>
      <c r="AM76" s="449" t="e">
        <f>VLOOKUP(#REF!,U10対戦スケジュール!#REF!,3,TRUE)</f>
        <v>#REF!</v>
      </c>
      <c r="AN76" s="449" t="e">
        <f>VLOOKUP(#REF!,U10対戦スケジュール!#REF!,3,TRUE)</f>
        <v>#REF!</v>
      </c>
      <c r="AO76" s="449" t="e">
        <f>VLOOKUP(#REF!,U10対戦スケジュール!#REF!,3,TRUE)</f>
        <v>#REF!</v>
      </c>
      <c r="AP76" s="449" t="e">
        <f>VLOOKUP(#REF!,U10対戦スケジュール!#REF!,3,TRUE)</f>
        <v>#REF!</v>
      </c>
      <c r="AR76" s="151">
        <f ca="1">VLOOKUP($B76,U10対戦スケジュール!$G$27:$L$30,3,TRUE)</f>
        <v>4</v>
      </c>
      <c r="AS76" s="151">
        <f ca="1">VLOOKUP($B76,U10対戦スケジュール!$G$27:$L$30,5,TRUE)</f>
        <v>5</v>
      </c>
    </row>
    <row r="77" spans="2:45" ht="20.100000000000001" customHeight="1" x14ac:dyDescent="0.4">
      <c r="B77" s="442"/>
      <c r="C77" s="464"/>
      <c r="D77" s="465"/>
      <c r="E77" s="466"/>
      <c r="F77" s="449"/>
      <c r="G77" s="449"/>
      <c r="H77" s="449"/>
      <c r="I77" s="449"/>
      <c r="J77" s="468"/>
      <c r="K77" s="468"/>
      <c r="L77" s="468"/>
      <c r="M77" s="468"/>
      <c r="N77" s="468"/>
      <c r="O77" s="468"/>
      <c r="P77" s="468"/>
      <c r="Q77" s="446"/>
      <c r="R77" s="446"/>
      <c r="S77" s="136">
        <v>4</v>
      </c>
      <c r="T77" s="137" t="s">
        <v>8</v>
      </c>
      <c r="U77" s="136">
        <v>0</v>
      </c>
      <c r="V77" s="446"/>
      <c r="W77" s="446"/>
      <c r="X77" s="468"/>
      <c r="Y77" s="468"/>
      <c r="Z77" s="468"/>
      <c r="AA77" s="468"/>
      <c r="AB77" s="468"/>
      <c r="AC77" s="468"/>
      <c r="AD77" s="468"/>
      <c r="AE77" s="449"/>
      <c r="AF77" s="449"/>
      <c r="AG77" s="449"/>
      <c r="AH77" s="449"/>
      <c r="AI77" s="449" t="e">
        <f>VLOOKUP(#REF!,U10対戦スケジュール!#REF!,3,TRUE)</f>
        <v>#REF!</v>
      </c>
      <c r="AJ77" s="449" t="e">
        <f>VLOOKUP(#REF!,U10対戦スケジュール!#REF!,3,TRUE)</f>
        <v>#REF!</v>
      </c>
      <c r="AK77" s="449" t="e">
        <f>VLOOKUP(#REF!,U10対戦スケジュール!#REF!,3,TRUE)</f>
        <v>#REF!</v>
      </c>
      <c r="AL77" s="449" t="e">
        <f>VLOOKUP(#REF!,U10対戦スケジュール!#REF!,3,TRUE)</f>
        <v>#REF!</v>
      </c>
      <c r="AM77" s="449" t="e">
        <f>VLOOKUP(#REF!,U10対戦スケジュール!#REF!,3,TRUE)</f>
        <v>#REF!</v>
      </c>
      <c r="AN77" s="449" t="e">
        <f>VLOOKUP(#REF!,U10対戦スケジュール!#REF!,3,TRUE)</f>
        <v>#REF!</v>
      </c>
      <c r="AO77" s="449" t="e">
        <f>VLOOKUP(#REF!,U10対戦スケジュール!#REF!,3,TRUE)</f>
        <v>#REF!</v>
      </c>
      <c r="AP77" s="449" t="e">
        <f>VLOOKUP(#REF!,U10対戦スケジュール!#REF!,3,TRUE)</f>
        <v>#REF!</v>
      </c>
    </row>
    <row r="78" spans="2:45" ht="20.100000000000001" customHeight="1" x14ac:dyDescent="0.4">
      <c r="B78" s="442" t="str">
        <f ca="1">DBCS(INDIRECT("U10対戦スケジュール!G"&amp;(ROW())/2-AR$69))</f>
        <v>③</v>
      </c>
      <c r="C78" s="461">
        <f ca="1">VLOOKUP(B78,U10対戦スケジュール!G$27:L$30,2,TRUE)</f>
        <v>0.43779999999999997</v>
      </c>
      <c r="D78" s="462"/>
      <c r="E78" s="463"/>
      <c r="F78" s="449"/>
      <c r="G78" s="449"/>
      <c r="H78" s="449"/>
      <c r="I78" s="449"/>
      <c r="J78" s="467" t="str">
        <f ca="1">VLOOKUP(AR78,U10組合せ!$B$10:$I$17,5,TRUE)</f>
        <v>栃木SC　U-10</v>
      </c>
      <c r="K78" s="468"/>
      <c r="L78" s="468"/>
      <c r="M78" s="468"/>
      <c r="N78" s="468"/>
      <c r="O78" s="468"/>
      <c r="P78" s="468"/>
      <c r="Q78" s="446">
        <f t="shared" ref="Q78" si="15">IF(OR(S78="",S79=""),"",S78+S79)</f>
        <v>14</v>
      </c>
      <c r="R78" s="446"/>
      <c r="S78" s="136">
        <v>6</v>
      </c>
      <c r="T78" s="137"/>
      <c r="U78" s="136">
        <v>0</v>
      </c>
      <c r="V78" s="446">
        <f t="shared" ref="V78" si="16">IF(OR(U78="",U79=""),"",U78+U79)</f>
        <v>0</v>
      </c>
      <c r="W78" s="446"/>
      <c r="X78" s="467" t="str">
        <f ca="1">VLOOKUP(AS78,U10組合せ!$B$10:$I$17,5,TRUE)</f>
        <v>SUGAO・SC</v>
      </c>
      <c r="Y78" s="468"/>
      <c r="Z78" s="468"/>
      <c r="AA78" s="468"/>
      <c r="AB78" s="468"/>
      <c r="AC78" s="468"/>
      <c r="AD78" s="468"/>
      <c r="AE78" s="449"/>
      <c r="AF78" s="449"/>
      <c r="AG78" s="449"/>
      <c r="AH78" s="449"/>
      <c r="AI78" s="446" t="str">
        <f ca="1">DBCS(VLOOKUP(B78,U10対戦スケジュール!G$27:L$30,6,TRUE))</f>
        <v>６／４／４／６</v>
      </c>
      <c r="AJ78" s="449" t="e">
        <f>VLOOKUP(#REF!,U10対戦スケジュール!#REF!,3,TRUE)</f>
        <v>#REF!</v>
      </c>
      <c r="AK78" s="449" t="e">
        <f>VLOOKUP(#REF!,U10対戦スケジュール!#REF!,3,TRUE)</f>
        <v>#REF!</v>
      </c>
      <c r="AL78" s="449" t="e">
        <f>VLOOKUP(#REF!,U10対戦スケジュール!#REF!,3,TRUE)</f>
        <v>#REF!</v>
      </c>
      <c r="AM78" s="449" t="e">
        <f>VLOOKUP(#REF!,U10対戦スケジュール!#REF!,3,TRUE)</f>
        <v>#REF!</v>
      </c>
      <c r="AN78" s="449" t="e">
        <f>VLOOKUP(#REF!,U10対戦スケジュール!#REF!,3,TRUE)</f>
        <v>#REF!</v>
      </c>
      <c r="AO78" s="449" t="e">
        <f>VLOOKUP(#REF!,U10対戦スケジュール!#REF!,3,TRUE)</f>
        <v>#REF!</v>
      </c>
      <c r="AP78" s="449" t="e">
        <f>VLOOKUP(#REF!,U10対戦スケジュール!#REF!,3,TRUE)</f>
        <v>#REF!</v>
      </c>
      <c r="AR78" s="151">
        <f ca="1">VLOOKUP($B78,U10対戦スケジュール!$G$27:$L$30,3,TRUE)</f>
        <v>2</v>
      </c>
      <c r="AS78" s="151">
        <f ca="1">VLOOKUP($B78,U10対戦スケジュール!$G$27:$L$30,5,TRUE)</f>
        <v>5</v>
      </c>
    </row>
    <row r="79" spans="2:45" ht="20.100000000000001" customHeight="1" x14ac:dyDescent="0.4">
      <c r="B79" s="442"/>
      <c r="C79" s="464"/>
      <c r="D79" s="465"/>
      <c r="E79" s="466"/>
      <c r="F79" s="449"/>
      <c r="G79" s="449"/>
      <c r="H79" s="449"/>
      <c r="I79" s="449"/>
      <c r="J79" s="468"/>
      <c r="K79" s="468"/>
      <c r="L79" s="468"/>
      <c r="M79" s="468"/>
      <c r="N79" s="468"/>
      <c r="O79" s="468"/>
      <c r="P79" s="468"/>
      <c r="Q79" s="446"/>
      <c r="R79" s="446"/>
      <c r="S79" s="136">
        <v>8</v>
      </c>
      <c r="T79" s="137"/>
      <c r="U79" s="136">
        <v>0</v>
      </c>
      <c r="V79" s="446"/>
      <c r="W79" s="446"/>
      <c r="X79" s="468"/>
      <c r="Y79" s="468"/>
      <c r="Z79" s="468"/>
      <c r="AA79" s="468"/>
      <c r="AB79" s="468"/>
      <c r="AC79" s="468"/>
      <c r="AD79" s="468"/>
      <c r="AE79" s="449"/>
      <c r="AF79" s="449"/>
      <c r="AG79" s="449"/>
      <c r="AH79" s="449"/>
      <c r="AI79" s="449" t="e">
        <f>VLOOKUP(#REF!,U10対戦スケジュール!#REF!,3,TRUE)</f>
        <v>#REF!</v>
      </c>
      <c r="AJ79" s="449" t="e">
        <f>VLOOKUP(#REF!,U10対戦スケジュール!#REF!,3,TRUE)</f>
        <v>#REF!</v>
      </c>
      <c r="AK79" s="449" t="e">
        <f>VLOOKUP(#REF!,U10対戦スケジュール!#REF!,3,TRUE)</f>
        <v>#REF!</v>
      </c>
      <c r="AL79" s="449" t="e">
        <f>VLOOKUP(#REF!,U10対戦スケジュール!#REF!,3,TRUE)</f>
        <v>#REF!</v>
      </c>
      <c r="AM79" s="449" t="e">
        <f>VLOOKUP(#REF!,U10対戦スケジュール!#REF!,3,TRUE)</f>
        <v>#REF!</v>
      </c>
      <c r="AN79" s="449" t="e">
        <f>VLOOKUP(#REF!,U10対戦スケジュール!#REF!,3,TRUE)</f>
        <v>#REF!</v>
      </c>
      <c r="AO79" s="449" t="e">
        <f>VLOOKUP(#REF!,U10対戦スケジュール!#REF!,3,TRUE)</f>
        <v>#REF!</v>
      </c>
      <c r="AP79" s="449" t="e">
        <f>VLOOKUP(#REF!,U10対戦スケジュール!#REF!,3,TRUE)</f>
        <v>#REF!</v>
      </c>
      <c r="AR79" s="151"/>
      <c r="AS79" s="151"/>
    </row>
    <row r="80" spans="2:45" ht="20.100000000000001" customHeight="1" x14ac:dyDescent="0.4">
      <c r="B80" s="442" t="str">
        <f ca="1">DBCS(INDIRECT("U10対戦スケジュール!G"&amp;(ROW())/2-AR$69))</f>
        <v>④</v>
      </c>
      <c r="C80" s="461">
        <f ca="1">VLOOKUP(B80,U10対戦スケジュール!G$27:L$30,2,TRUE)</f>
        <v>0.46559999999999996</v>
      </c>
      <c r="D80" s="462"/>
      <c r="E80" s="463"/>
      <c r="F80" s="449"/>
      <c r="G80" s="449"/>
      <c r="H80" s="449"/>
      <c r="I80" s="449"/>
      <c r="J80" s="467" t="str">
        <f ca="1">VLOOKUP(AR80,U10組合せ!$B$10:$I$17,5,TRUE)</f>
        <v>FCアネーロ・U-10</v>
      </c>
      <c r="K80" s="468"/>
      <c r="L80" s="468"/>
      <c r="M80" s="468"/>
      <c r="N80" s="468"/>
      <c r="O80" s="468"/>
      <c r="P80" s="468"/>
      <c r="Q80" s="446">
        <f t="shared" ref="Q80" si="17">IF(OR(S80="",S81=""),"",S80+S81)</f>
        <v>0</v>
      </c>
      <c r="R80" s="446"/>
      <c r="S80" s="136">
        <v>0</v>
      </c>
      <c r="T80" s="137"/>
      <c r="U80" s="136">
        <v>0</v>
      </c>
      <c r="V80" s="446">
        <f t="shared" ref="V80" si="18">IF(OR(U80="",U81=""),"",U80+U81)</f>
        <v>0</v>
      </c>
      <c r="W80" s="446"/>
      <c r="X80" s="467" t="str">
        <f ca="1">VLOOKUP(AS80,U10組合せ!$B$10:$I$17,5,TRUE)</f>
        <v>スポルト宇都宮U10</v>
      </c>
      <c r="Y80" s="468"/>
      <c r="Z80" s="468"/>
      <c r="AA80" s="468"/>
      <c r="AB80" s="468"/>
      <c r="AC80" s="468"/>
      <c r="AD80" s="468"/>
      <c r="AE80" s="449"/>
      <c r="AF80" s="449"/>
      <c r="AG80" s="449"/>
      <c r="AH80" s="449"/>
      <c r="AI80" s="446" t="str">
        <f ca="1">DBCS(VLOOKUP(B80,U10対戦スケジュール!G$27:L$30,6,TRUE))</f>
        <v>５／２／２／５</v>
      </c>
      <c r="AJ80" s="449" t="e">
        <f>VLOOKUP(#REF!,U10対戦スケジュール!#REF!,3,TRUE)</f>
        <v>#REF!</v>
      </c>
      <c r="AK80" s="449" t="e">
        <f>VLOOKUP(#REF!,U10対戦スケジュール!#REF!,3,TRUE)</f>
        <v>#REF!</v>
      </c>
      <c r="AL80" s="449" t="e">
        <f>VLOOKUP(#REF!,U10対戦スケジュール!#REF!,3,TRUE)</f>
        <v>#REF!</v>
      </c>
      <c r="AM80" s="449" t="e">
        <f>VLOOKUP(#REF!,U10対戦スケジュール!#REF!,3,TRUE)</f>
        <v>#REF!</v>
      </c>
      <c r="AN80" s="449" t="e">
        <f>VLOOKUP(#REF!,U10対戦スケジュール!#REF!,3,TRUE)</f>
        <v>#REF!</v>
      </c>
      <c r="AO80" s="449" t="e">
        <f>VLOOKUP(#REF!,U10対戦スケジュール!#REF!,3,TRUE)</f>
        <v>#REF!</v>
      </c>
      <c r="AP80" s="449" t="e">
        <f>VLOOKUP(#REF!,U10対戦スケジュール!#REF!,3,TRUE)</f>
        <v>#REF!</v>
      </c>
      <c r="AR80" s="151">
        <f ca="1">VLOOKUP($B80,U10対戦スケジュール!$G$27:$L$30,3,TRUE)</f>
        <v>4</v>
      </c>
      <c r="AS80" s="151">
        <f ca="1">VLOOKUP($B80,U10対戦スケジュール!$G$27:$L$30,5,TRUE)</f>
        <v>6</v>
      </c>
    </row>
    <row r="81" spans="1:45" ht="20.100000000000001" customHeight="1" x14ac:dyDescent="0.4">
      <c r="B81" s="442"/>
      <c r="C81" s="464"/>
      <c r="D81" s="465"/>
      <c r="E81" s="466"/>
      <c r="F81" s="449"/>
      <c r="G81" s="449"/>
      <c r="H81" s="449"/>
      <c r="I81" s="449"/>
      <c r="J81" s="468"/>
      <c r="K81" s="468"/>
      <c r="L81" s="468"/>
      <c r="M81" s="468"/>
      <c r="N81" s="468"/>
      <c r="O81" s="468"/>
      <c r="P81" s="468"/>
      <c r="Q81" s="446"/>
      <c r="R81" s="446"/>
      <c r="S81" s="136">
        <v>0</v>
      </c>
      <c r="T81" s="137"/>
      <c r="U81" s="136">
        <v>0</v>
      </c>
      <c r="V81" s="446"/>
      <c r="W81" s="446"/>
      <c r="X81" s="468"/>
      <c r="Y81" s="468"/>
      <c r="Z81" s="468"/>
      <c r="AA81" s="468"/>
      <c r="AB81" s="468"/>
      <c r="AC81" s="468"/>
      <c r="AD81" s="468"/>
      <c r="AE81" s="449"/>
      <c r="AF81" s="449"/>
      <c r="AG81" s="449"/>
      <c r="AH81" s="449"/>
      <c r="AI81" s="449" t="e">
        <f>VLOOKUP(#REF!,U10対戦スケジュール!#REF!,3,TRUE)</f>
        <v>#REF!</v>
      </c>
      <c r="AJ81" s="449" t="e">
        <f>VLOOKUP(#REF!,U10対戦スケジュール!#REF!,3,TRUE)</f>
        <v>#REF!</v>
      </c>
      <c r="AK81" s="449" t="e">
        <f>VLOOKUP(#REF!,U10対戦スケジュール!#REF!,3,TRUE)</f>
        <v>#REF!</v>
      </c>
      <c r="AL81" s="449" t="e">
        <f>VLOOKUP(#REF!,U10対戦スケジュール!#REF!,3,TRUE)</f>
        <v>#REF!</v>
      </c>
      <c r="AM81" s="449" t="e">
        <f>VLOOKUP(#REF!,U10対戦スケジュール!#REF!,3,TRUE)</f>
        <v>#REF!</v>
      </c>
      <c r="AN81" s="449" t="e">
        <f>VLOOKUP(#REF!,U10対戦スケジュール!#REF!,3,TRUE)</f>
        <v>#REF!</v>
      </c>
      <c r="AO81" s="449" t="e">
        <f>VLOOKUP(#REF!,U10対戦スケジュール!#REF!,3,TRUE)</f>
        <v>#REF!</v>
      </c>
      <c r="AP81" s="449" t="e">
        <f>VLOOKUP(#REF!,U10対戦スケジュール!#REF!,3,TRUE)</f>
        <v>#REF!</v>
      </c>
      <c r="AR81" s="151"/>
      <c r="AS81" s="151"/>
    </row>
    <row r="82" spans="1:45" ht="20.100000000000001" customHeight="1" x14ac:dyDescent="0.4">
      <c r="B82" s="442"/>
      <c r="C82" s="450"/>
      <c r="D82" s="450"/>
      <c r="E82" s="450"/>
      <c r="F82" s="449"/>
      <c r="G82" s="449"/>
      <c r="H82" s="449"/>
      <c r="I82" s="449"/>
      <c r="J82" s="447"/>
      <c r="K82" s="448"/>
      <c r="L82" s="448"/>
      <c r="M82" s="448"/>
      <c r="N82" s="448"/>
      <c r="O82" s="448"/>
      <c r="P82" s="448"/>
      <c r="Q82" s="446"/>
      <c r="R82" s="446"/>
      <c r="S82" s="136"/>
      <c r="T82" s="137"/>
      <c r="U82" s="136"/>
      <c r="V82" s="446"/>
      <c r="W82" s="446"/>
      <c r="X82" s="447"/>
      <c r="Y82" s="448"/>
      <c r="Z82" s="448"/>
      <c r="AA82" s="448"/>
      <c r="AB82" s="448"/>
      <c r="AC82" s="448"/>
      <c r="AD82" s="448"/>
      <c r="AE82" s="449"/>
      <c r="AF82" s="449"/>
      <c r="AG82" s="449"/>
      <c r="AH82" s="449"/>
      <c r="AI82" s="446"/>
      <c r="AJ82" s="449"/>
      <c r="AK82" s="449"/>
      <c r="AL82" s="449"/>
      <c r="AM82" s="449"/>
      <c r="AN82" s="449"/>
      <c r="AO82" s="449"/>
      <c r="AP82" s="449"/>
      <c r="AR82" s="151"/>
      <c r="AS82" s="151"/>
    </row>
    <row r="83" spans="1:45" ht="20.100000000000001" customHeight="1" x14ac:dyDescent="0.4">
      <c r="B83" s="442"/>
      <c r="C83" s="450"/>
      <c r="D83" s="450"/>
      <c r="E83" s="450"/>
      <c r="F83" s="449"/>
      <c r="G83" s="449"/>
      <c r="H83" s="449"/>
      <c r="I83" s="449"/>
      <c r="J83" s="448"/>
      <c r="K83" s="448"/>
      <c r="L83" s="448"/>
      <c r="M83" s="448"/>
      <c r="N83" s="448"/>
      <c r="O83" s="448"/>
      <c r="P83" s="448"/>
      <c r="Q83" s="446"/>
      <c r="R83" s="446"/>
      <c r="S83" s="136"/>
      <c r="T83" s="137"/>
      <c r="U83" s="136"/>
      <c r="V83" s="446"/>
      <c r="W83" s="446"/>
      <c r="X83" s="448"/>
      <c r="Y83" s="448"/>
      <c r="Z83" s="448"/>
      <c r="AA83" s="448"/>
      <c r="AB83" s="448"/>
      <c r="AC83" s="448"/>
      <c r="AD83" s="448"/>
      <c r="AE83" s="449"/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R83" s="151"/>
      <c r="AS83" s="151"/>
    </row>
    <row r="84" spans="1:45" ht="20.100000000000001" customHeight="1" x14ac:dyDescent="0.4">
      <c r="B84" s="442"/>
      <c r="C84" s="450"/>
      <c r="D84" s="450"/>
      <c r="E84" s="450"/>
      <c r="F84" s="449"/>
      <c r="G84" s="449"/>
      <c r="H84" s="449"/>
      <c r="I84" s="449"/>
      <c r="J84" s="447"/>
      <c r="K84" s="448"/>
      <c r="L84" s="448"/>
      <c r="M84" s="448"/>
      <c r="N84" s="448"/>
      <c r="O84" s="448"/>
      <c r="P84" s="448"/>
      <c r="Q84" s="446"/>
      <c r="R84" s="446"/>
      <c r="S84" s="136"/>
      <c r="T84" s="137"/>
      <c r="U84" s="136"/>
      <c r="V84" s="446"/>
      <c r="W84" s="446"/>
      <c r="X84" s="447"/>
      <c r="Y84" s="448"/>
      <c r="Z84" s="448"/>
      <c r="AA84" s="448"/>
      <c r="AB84" s="448"/>
      <c r="AC84" s="448"/>
      <c r="AD84" s="448"/>
      <c r="AE84" s="449"/>
      <c r="AF84" s="449"/>
      <c r="AG84" s="449"/>
      <c r="AH84" s="449"/>
      <c r="AI84" s="446"/>
      <c r="AJ84" s="449"/>
      <c r="AK84" s="449"/>
      <c r="AL84" s="449"/>
      <c r="AM84" s="449"/>
      <c r="AN84" s="449"/>
      <c r="AO84" s="449"/>
      <c r="AP84" s="449"/>
      <c r="AR84" s="151"/>
      <c r="AS84" s="151"/>
    </row>
    <row r="85" spans="1:45" ht="20.100000000000001" customHeight="1" x14ac:dyDescent="0.4">
      <c r="B85" s="442"/>
      <c r="C85" s="450"/>
      <c r="D85" s="450"/>
      <c r="E85" s="450"/>
      <c r="F85" s="449"/>
      <c r="G85" s="449"/>
      <c r="H85" s="449"/>
      <c r="I85" s="449"/>
      <c r="J85" s="448"/>
      <c r="K85" s="448"/>
      <c r="L85" s="448"/>
      <c r="M85" s="448"/>
      <c r="N85" s="448"/>
      <c r="O85" s="448"/>
      <c r="P85" s="448"/>
      <c r="Q85" s="446"/>
      <c r="R85" s="446"/>
      <c r="S85" s="136"/>
      <c r="T85" s="137"/>
      <c r="U85" s="136"/>
      <c r="V85" s="446"/>
      <c r="W85" s="446"/>
      <c r="X85" s="448"/>
      <c r="Y85" s="448"/>
      <c r="Z85" s="448"/>
      <c r="AA85" s="448"/>
      <c r="AB85" s="448"/>
      <c r="AC85" s="448"/>
      <c r="AD85" s="448"/>
      <c r="AE85" s="449"/>
      <c r="AF85" s="449"/>
      <c r="AG85" s="449"/>
      <c r="AH85" s="449"/>
      <c r="AI85" s="449"/>
      <c r="AJ85" s="449"/>
      <c r="AK85" s="449"/>
      <c r="AL85" s="449"/>
      <c r="AM85" s="449"/>
      <c r="AN85" s="449"/>
      <c r="AO85" s="449"/>
      <c r="AP85" s="449"/>
      <c r="AR85" s="151"/>
      <c r="AS85" s="151"/>
    </row>
    <row r="86" spans="1:45" ht="20.100000000000001" customHeight="1" x14ac:dyDescent="0.4">
      <c r="B86" s="442"/>
      <c r="C86" s="450"/>
      <c r="D86" s="450"/>
      <c r="E86" s="450"/>
      <c r="F86" s="449"/>
      <c r="G86" s="449"/>
      <c r="H86" s="449"/>
      <c r="I86" s="449"/>
      <c r="J86" s="447"/>
      <c r="K86" s="448"/>
      <c r="L86" s="448"/>
      <c r="M86" s="448"/>
      <c r="N86" s="448"/>
      <c r="O86" s="448"/>
      <c r="P86" s="448"/>
      <c r="Q86" s="446"/>
      <c r="R86" s="446"/>
      <c r="S86" s="136"/>
      <c r="T86" s="137"/>
      <c r="U86" s="136"/>
      <c r="V86" s="446"/>
      <c r="W86" s="446"/>
      <c r="X86" s="447"/>
      <c r="Y86" s="448"/>
      <c r="Z86" s="448"/>
      <c r="AA86" s="448"/>
      <c r="AB86" s="448"/>
      <c r="AC86" s="448"/>
      <c r="AD86" s="448"/>
      <c r="AE86" s="449"/>
      <c r="AF86" s="449"/>
      <c r="AG86" s="449"/>
      <c r="AH86" s="449"/>
      <c r="AI86" s="446"/>
      <c r="AJ86" s="449"/>
      <c r="AK86" s="449"/>
      <c r="AL86" s="449"/>
      <c r="AM86" s="449"/>
      <c r="AN86" s="449"/>
      <c r="AO86" s="449"/>
      <c r="AP86" s="449"/>
      <c r="AR86" s="151"/>
      <c r="AS86" s="151"/>
    </row>
    <row r="87" spans="1:45" ht="20.100000000000001" customHeight="1" x14ac:dyDescent="0.4">
      <c r="B87" s="442"/>
      <c r="C87" s="450"/>
      <c r="D87" s="450"/>
      <c r="E87" s="450"/>
      <c r="F87" s="449"/>
      <c r="G87" s="449"/>
      <c r="H87" s="449"/>
      <c r="I87" s="449"/>
      <c r="J87" s="448"/>
      <c r="K87" s="448"/>
      <c r="L87" s="448"/>
      <c r="M87" s="448"/>
      <c r="N87" s="448"/>
      <c r="O87" s="448"/>
      <c r="P87" s="448"/>
      <c r="Q87" s="446"/>
      <c r="R87" s="446"/>
      <c r="S87" s="136"/>
      <c r="T87" s="137"/>
      <c r="U87" s="136"/>
      <c r="V87" s="446"/>
      <c r="W87" s="446"/>
      <c r="X87" s="448"/>
      <c r="Y87" s="448"/>
      <c r="Z87" s="448"/>
      <c r="AA87" s="448"/>
      <c r="AB87" s="448"/>
      <c r="AC87" s="448"/>
      <c r="AD87" s="448"/>
      <c r="AE87" s="449"/>
      <c r="AF87" s="449"/>
      <c r="AG87" s="449"/>
      <c r="AH87" s="449"/>
      <c r="AI87" s="449"/>
      <c r="AJ87" s="449"/>
      <c r="AK87" s="449"/>
      <c r="AL87" s="449"/>
      <c r="AM87" s="449"/>
      <c r="AN87" s="449"/>
      <c r="AO87" s="449"/>
      <c r="AP87" s="449"/>
    </row>
    <row r="88" spans="1:45" ht="15.75" customHeight="1" x14ac:dyDescent="0.4">
      <c r="A88" s="138"/>
      <c r="B88" s="139"/>
      <c r="C88" s="140"/>
      <c r="D88" s="140"/>
      <c r="E88" s="140"/>
      <c r="F88" s="139"/>
      <c r="G88" s="139"/>
      <c r="H88" s="139"/>
      <c r="I88" s="139"/>
      <c r="J88" s="139"/>
      <c r="K88" s="141"/>
      <c r="L88" s="141"/>
      <c r="M88" s="142"/>
      <c r="N88" s="143"/>
      <c r="O88" s="142"/>
      <c r="P88" s="141"/>
      <c r="Q88" s="141"/>
      <c r="R88" s="139"/>
      <c r="S88" s="139"/>
      <c r="T88" s="139"/>
      <c r="U88" s="139"/>
      <c r="V88" s="139"/>
      <c r="W88" s="144"/>
      <c r="X88" s="144"/>
      <c r="Y88" s="144"/>
      <c r="Z88" s="144"/>
      <c r="AA88" s="144"/>
      <c r="AB88" s="144"/>
      <c r="AC88" s="138"/>
    </row>
    <row r="89" spans="1:45" ht="20.25" customHeight="1" x14ac:dyDescent="0.4">
      <c r="D89" s="442" t="s">
        <v>9</v>
      </c>
      <c r="E89" s="442"/>
      <c r="F89" s="442"/>
      <c r="G89" s="442"/>
      <c r="H89" s="442"/>
      <c r="I89" s="442"/>
      <c r="J89" s="442" t="s">
        <v>5</v>
      </c>
      <c r="K89" s="442"/>
      <c r="L89" s="442"/>
      <c r="M89" s="442"/>
      <c r="N89" s="442"/>
      <c r="O89" s="442"/>
      <c r="P89" s="442"/>
      <c r="Q89" s="442"/>
      <c r="R89" s="443" t="s">
        <v>10</v>
      </c>
      <c r="S89" s="443"/>
      <c r="T89" s="443"/>
      <c r="U89" s="443"/>
      <c r="V89" s="443"/>
      <c r="W89" s="443"/>
      <c r="X89" s="443"/>
      <c r="Y89" s="443"/>
      <c r="Z89" s="443"/>
      <c r="AA89" s="444" t="s">
        <v>11</v>
      </c>
      <c r="AB89" s="444"/>
      <c r="AC89" s="444"/>
      <c r="AD89" s="444" t="s">
        <v>12</v>
      </c>
      <c r="AE89" s="444"/>
      <c r="AF89" s="444"/>
      <c r="AG89" s="444"/>
      <c r="AH89" s="444"/>
      <c r="AI89" s="444"/>
      <c r="AJ89" s="444"/>
      <c r="AK89" s="444"/>
      <c r="AL89" s="444"/>
      <c r="AM89" s="444"/>
    </row>
    <row r="90" spans="1:45" ht="30" customHeight="1" x14ac:dyDescent="0.4">
      <c r="D90" s="442" t="s">
        <v>13</v>
      </c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3"/>
      <c r="S90" s="443"/>
      <c r="T90" s="443"/>
      <c r="U90" s="443"/>
      <c r="V90" s="443"/>
      <c r="W90" s="443"/>
      <c r="X90" s="443"/>
      <c r="Y90" s="443"/>
      <c r="Z90" s="443"/>
      <c r="AA90" s="445"/>
      <c r="AB90" s="445"/>
      <c r="AC90" s="445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</row>
    <row r="91" spans="1:45" ht="30" customHeight="1" x14ac:dyDescent="0.4">
      <c r="D91" s="442" t="s">
        <v>13</v>
      </c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3"/>
      <c r="S91" s="443"/>
      <c r="T91" s="443"/>
      <c r="U91" s="443"/>
      <c r="V91" s="443"/>
      <c r="W91" s="443"/>
      <c r="X91" s="443"/>
      <c r="Y91" s="443"/>
      <c r="Z91" s="443"/>
      <c r="AA91" s="444"/>
      <c r="AB91" s="444"/>
      <c r="AC91" s="444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</row>
    <row r="92" spans="1:45" ht="30" customHeight="1" x14ac:dyDescent="0.4">
      <c r="D92" s="442" t="s">
        <v>13</v>
      </c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3"/>
      <c r="S92" s="443"/>
      <c r="T92" s="443"/>
      <c r="U92" s="443"/>
      <c r="V92" s="443"/>
      <c r="W92" s="443"/>
      <c r="X92" s="443"/>
      <c r="Y92" s="443"/>
      <c r="Z92" s="443"/>
      <c r="AA92" s="444"/>
      <c r="AB92" s="444"/>
      <c r="AC92" s="444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</row>
    <row r="93" spans="1:45" ht="30" customHeight="1" x14ac:dyDescent="0.4">
      <c r="D93" s="442" t="s">
        <v>13</v>
      </c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3"/>
      <c r="S93" s="443"/>
      <c r="T93" s="443"/>
      <c r="U93" s="443"/>
      <c r="V93" s="443"/>
      <c r="W93" s="443"/>
      <c r="X93" s="443"/>
      <c r="Y93" s="443"/>
      <c r="Z93" s="443"/>
      <c r="AA93" s="444"/>
      <c r="AB93" s="444"/>
      <c r="AC93" s="444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</row>
    <row r="95" spans="1:45" ht="14.25" customHeight="1" x14ac:dyDescent="0.4">
      <c r="A95" s="274"/>
      <c r="B95" s="489" t="str">
        <f>U10組合せ!$B$1</f>
        <v>ＪＦＡ　Ｕ-１０サッカーリーグ2021（in栃木） 宇都宮地区リーグ戦（前期）</v>
      </c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90" t="str">
        <f>"【"&amp;(U10組合せ!$F$3)&amp;"】"</f>
        <v>【Ｂ ブロック】</v>
      </c>
      <c r="AD95" s="490"/>
      <c r="AE95" s="490"/>
      <c r="AF95" s="490"/>
      <c r="AG95" s="490"/>
      <c r="AH95" s="490"/>
      <c r="AI95" s="490"/>
      <c r="AJ95" s="490"/>
      <c r="AK95" s="490" t="str">
        <f>"第"&amp;(U10組合せ!$F$25)</f>
        <v>第２節</v>
      </c>
      <c r="AL95" s="490"/>
      <c r="AM95" s="490"/>
      <c r="AN95" s="490"/>
      <c r="AO95" s="490"/>
      <c r="AP95" s="491" t="s">
        <v>196</v>
      </c>
      <c r="AQ95" s="492"/>
    </row>
    <row r="96" spans="1:45" ht="22.5" customHeight="1" x14ac:dyDescent="0.4">
      <c r="A96" s="274"/>
      <c r="B96" s="489"/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489"/>
      <c r="V96" s="489"/>
      <c r="W96" s="489"/>
      <c r="X96" s="489"/>
      <c r="Y96" s="489"/>
      <c r="Z96" s="489"/>
      <c r="AA96" s="489"/>
      <c r="AB96" s="489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2"/>
      <c r="AQ96" s="492"/>
    </row>
    <row r="97" spans="2:45" ht="27.75" customHeight="1" x14ac:dyDescent="0.4">
      <c r="C97" s="477" t="s">
        <v>1</v>
      </c>
      <c r="D97" s="477"/>
      <c r="E97" s="477"/>
      <c r="F97" s="477"/>
      <c r="G97" s="478" t="str">
        <f>U10組合せ!G27</f>
        <v>GP白沢 北 AM</v>
      </c>
      <c r="H97" s="479"/>
      <c r="I97" s="479"/>
      <c r="J97" s="479"/>
      <c r="K97" s="479"/>
      <c r="L97" s="479"/>
      <c r="M97" s="479"/>
      <c r="N97" s="479"/>
      <c r="O97" s="480"/>
      <c r="P97" s="477" t="s">
        <v>0</v>
      </c>
      <c r="Q97" s="477"/>
      <c r="R97" s="477"/>
      <c r="S97" s="477"/>
      <c r="T97" s="481" t="str">
        <f>AG99</f>
        <v>FCアリーバ</v>
      </c>
      <c r="U97" s="481"/>
      <c r="V97" s="481"/>
      <c r="W97" s="481"/>
      <c r="X97" s="481"/>
      <c r="Y97" s="481"/>
      <c r="Z97" s="481"/>
      <c r="AA97" s="481"/>
      <c r="AB97" s="481"/>
      <c r="AC97" s="477" t="s">
        <v>2</v>
      </c>
      <c r="AD97" s="477"/>
      <c r="AE97" s="477"/>
      <c r="AF97" s="477"/>
      <c r="AG97" s="482">
        <f>U10組合せ!B$25</f>
        <v>44310</v>
      </c>
      <c r="AH97" s="483"/>
      <c r="AI97" s="483"/>
      <c r="AJ97" s="483"/>
      <c r="AK97" s="483"/>
      <c r="AL97" s="483"/>
      <c r="AM97" s="484" t="str">
        <f>"（"&amp;TEXT(AG97,"aaa")&amp;"）"</f>
        <v>（土）</v>
      </c>
      <c r="AN97" s="484"/>
      <c r="AO97" s="485"/>
    </row>
    <row r="98" spans="2:45" ht="15" customHeight="1" x14ac:dyDescent="0.4">
      <c r="C98" s="134" t="str">
        <f>U10組合せ!G28</f>
        <v>B137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3"/>
      <c r="X98" s="133"/>
      <c r="Y98" s="133"/>
      <c r="Z98" s="133"/>
      <c r="AA98" s="133"/>
      <c r="AB98" s="133"/>
      <c r="AC98" s="133"/>
    </row>
    <row r="99" spans="2:45" s="155" customFormat="1" ht="29.25" customHeight="1" x14ac:dyDescent="0.4">
      <c r="B99" s="134"/>
      <c r="C99" s="481">
        <v>1</v>
      </c>
      <c r="D99" s="481"/>
      <c r="E99" s="488" t="str">
        <f>VLOOKUP(C99,U10組合せ!$B$10:$I$17,5,TRUE)</f>
        <v>宝木キッカーズ</v>
      </c>
      <c r="F99" s="488"/>
      <c r="G99" s="488"/>
      <c r="H99" s="488"/>
      <c r="I99" s="488"/>
      <c r="J99" s="488"/>
      <c r="K99" s="488"/>
      <c r="L99" s="488"/>
      <c r="M99" s="488"/>
      <c r="N99" s="488"/>
      <c r="O99" s="148"/>
      <c r="P99" s="148"/>
      <c r="Q99" s="486">
        <v>4</v>
      </c>
      <c r="R99" s="486"/>
      <c r="S99" s="487" t="str">
        <f>VLOOKUP(Q99,U10組合せ!$B$10:$I$17,5,TRUE)</f>
        <v>FCアネーロ・U-10</v>
      </c>
      <c r="T99" s="487"/>
      <c r="U99" s="487"/>
      <c r="V99" s="487"/>
      <c r="W99" s="487"/>
      <c r="X99" s="487"/>
      <c r="Y99" s="487"/>
      <c r="Z99" s="487"/>
      <c r="AA99" s="487"/>
      <c r="AB99" s="487"/>
      <c r="AC99" s="131"/>
      <c r="AD99" s="132"/>
      <c r="AE99" s="481">
        <v>7</v>
      </c>
      <c r="AF99" s="481"/>
      <c r="AG99" s="488" t="str">
        <f>VLOOKUP(AE99,U10組合せ!$B$10:$I$17,5,TRUE)</f>
        <v>FCアリーバ</v>
      </c>
      <c r="AH99" s="488"/>
      <c r="AI99" s="488"/>
      <c r="AJ99" s="488"/>
      <c r="AK99" s="488"/>
      <c r="AL99" s="488"/>
      <c r="AM99" s="488"/>
      <c r="AN99" s="488"/>
      <c r="AO99" s="488"/>
      <c r="AP99" s="488"/>
      <c r="AR99" s="155">
        <f>106/2</f>
        <v>53</v>
      </c>
    </row>
    <row r="100" spans="2:45" s="155" customFormat="1" ht="29.25" customHeight="1" x14ac:dyDescent="0.4">
      <c r="C100" s="486">
        <v>2</v>
      </c>
      <c r="D100" s="486"/>
      <c r="E100" s="487" t="str">
        <f>VLOOKUP(C100,U10組合せ!$B$10:$I$17,5,TRUE)</f>
        <v>栃木SC　U-10</v>
      </c>
      <c r="F100" s="487"/>
      <c r="G100" s="487"/>
      <c r="H100" s="487"/>
      <c r="I100" s="487"/>
      <c r="J100" s="487"/>
      <c r="K100" s="487"/>
      <c r="L100" s="487"/>
      <c r="M100" s="487"/>
      <c r="N100" s="487"/>
      <c r="O100" s="148"/>
      <c r="P100" s="148"/>
      <c r="Q100" s="486">
        <v>5</v>
      </c>
      <c r="R100" s="486"/>
      <c r="S100" s="487" t="str">
        <f>VLOOKUP(Q100,U10組合せ!$B$10:$I$17,5,TRUE)</f>
        <v>SUGAO・SC</v>
      </c>
      <c r="T100" s="487"/>
      <c r="U100" s="487"/>
      <c r="V100" s="487"/>
      <c r="W100" s="487"/>
      <c r="X100" s="487"/>
      <c r="Y100" s="487"/>
      <c r="Z100" s="487"/>
      <c r="AA100" s="487"/>
      <c r="AB100" s="487"/>
      <c r="AC100" s="131"/>
      <c r="AD100" s="132"/>
      <c r="AE100" s="486">
        <v>8</v>
      </c>
      <c r="AF100" s="486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R100" s="155">
        <v>35</v>
      </c>
    </row>
    <row r="101" spans="2:45" s="155" customFormat="1" ht="29.25" customHeight="1" x14ac:dyDescent="0.4">
      <c r="C101" s="481">
        <v>3</v>
      </c>
      <c r="D101" s="481"/>
      <c r="E101" s="488" t="str">
        <f>VLOOKUP(C101,U10組合せ!$B$10:$I$17,5,TRUE)</f>
        <v>石井FC</v>
      </c>
      <c r="F101" s="488"/>
      <c r="G101" s="488"/>
      <c r="H101" s="488"/>
      <c r="I101" s="488"/>
      <c r="J101" s="488"/>
      <c r="K101" s="488"/>
      <c r="L101" s="488"/>
      <c r="M101" s="488"/>
      <c r="N101" s="488"/>
      <c r="O101" s="148"/>
      <c r="P101" s="148"/>
      <c r="Q101" s="486">
        <v>6</v>
      </c>
      <c r="R101" s="486"/>
      <c r="S101" s="487" t="str">
        <f>VLOOKUP(Q101,U10組合せ!$B$10:$I$17,5,TRUE)</f>
        <v>スポルト宇都宮U10</v>
      </c>
      <c r="T101" s="487"/>
      <c r="U101" s="487"/>
      <c r="V101" s="487"/>
      <c r="W101" s="487"/>
      <c r="X101" s="487"/>
      <c r="Y101" s="487"/>
      <c r="Z101" s="487"/>
      <c r="AA101" s="487"/>
      <c r="AB101" s="487"/>
      <c r="AC101" s="131"/>
      <c r="AD101" s="132"/>
      <c r="AE101" s="486">
        <v>9</v>
      </c>
      <c r="AF101" s="486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R101" s="155">
        <f>AR99-AR100</f>
        <v>18</v>
      </c>
    </row>
    <row r="102" spans="2:45" ht="8.25" customHeight="1" x14ac:dyDescent="0.4">
      <c r="O102" s="138"/>
      <c r="P102" s="138"/>
      <c r="AC102" s="133"/>
    </row>
    <row r="103" spans="2:45" ht="8.25" customHeight="1" x14ac:dyDescent="0.4">
      <c r="C103" s="149"/>
      <c r="D103" s="150"/>
      <c r="E103" s="150"/>
      <c r="F103" s="150"/>
      <c r="G103" s="150"/>
      <c r="H103" s="150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50"/>
      <c r="U103" s="138"/>
      <c r="V103" s="150"/>
      <c r="W103" s="138"/>
      <c r="X103" s="150"/>
      <c r="Y103" s="138"/>
      <c r="Z103" s="150"/>
      <c r="AA103" s="138"/>
      <c r="AB103" s="150"/>
      <c r="AC103" s="150"/>
    </row>
    <row r="104" spans="2:45" ht="21" customHeight="1" x14ac:dyDescent="0.4">
      <c r="B104" s="134" t="s">
        <v>181</v>
      </c>
    </row>
    <row r="105" spans="2:45" ht="20.25" customHeight="1" x14ac:dyDescent="0.4">
      <c r="B105" s="135"/>
      <c r="C105" s="469" t="s">
        <v>3</v>
      </c>
      <c r="D105" s="469"/>
      <c r="E105" s="469"/>
      <c r="F105" s="470" t="s">
        <v>4</v>
      </c>
      <c r="G105" s="470"/>
      <c r="H105" s="470"/>
      <c r="I105" s="470"/>
      <c r="J105" s="469" t="s">
        <v>5</v>
      </c>
      <c r="K105" s="471"/>
      <c r="L105" s="471"/>
      <c r="M105" s="471"/>
      <c r="N105" s="471"/>
      <c r="O105" s="471"/>
      <c r="P105" s="471"/>
      <c r="Q105" s="469" t="s">
        <v>40</v>
      </c>
      <c r="R105" s="469"/>
      <c r="S105" s="469"/>
      <c r="T105" s="469"/>
      <c r="U105" s="469"/>
      <c r="V105" s="469"/>
      <c r="W105" s="469"/>
      <c r="X105" s="469" t="s">
        <v>5</v>
      </c>
      <c r="Y105" s="471"/>
      <c r="Z105" s="471"/>
      <c r="AA105" s="471"/>
      <c r="AB105" s="471"/>
      <c r="AC105" s="471"/>
      <c r="AD105" s="471"/>
      <c r="AE105" s="470" t="s">
        <v>4</v>
      </c>
      <c r="AF105" s="470"/>
      <c r="AG105" s="470"/>
      <c r="AH105" s="470"/>
      <c r="AI105" s="469" t="s">
        <v>7</v>
      </c>
      <c r="AJ105" s="469"/>
      <c r="AK105" s="471"/>
      <c r="AL105" s="471"/>
      <c r="AM105" s="471"/>
      <c r="AN105" s="471"/>
      <c r="AO105" s="471"/>
      <c r="AP105" s="471"/>
    </row>
    <row r="106" spans="2:45" ht="20.100000000000001" customHeight="1" x14ac:dyDescent="0.4">
      <c r="B106" s="442" t="str">
        <f ca="1">DBCS(INDIRECT("U10対戦スケジュール!G"&amp;(ROW())/2-18))</f>
        <v>①</v>
      </c>
      <c r="C106" s="461">
        <f ca="1">VLOOKUP(B106,U10対戦スケジュール!G$35:L$38,2,TRUE)</f>
        <v>0.375</v>
      </c>
      <c r="D106" s="462"/>
      <c r="E106" s="463"/>
      <c r="F106" s="449"/>
      <c r="G106" s="449"/>
      <c r="H106" s="449"/>
      <c r="I106" s="449"/>
      <c r="J106" s="467" t="str">
        <f ca="1">VLOOKUP(AR106,U10組合せ!$B$10:$I$17,5,TRUE)</f>
        <v>宝木キッカーズ</v>
      </c>
      <c r="K106" s="468"/>
      <c r="L106" s="468"/>
      <c r="M106" s="468"/>
      <c r="N106" s="468"/>
      <c r="O106" s="468"/>
      <c r="P106" s="468"/>
      <c r="Q106" s="446">
        <f>IF(OR(S106="",S107=""),"",S106+S107)</f>
        <v>1</v>
      </c>
      <c r="R106" s="446"/>
      <c r="S106" s="136">
        <v>1</v>
      </c>
      <c r="T106" s="137" t="s">
        <v>8</v>
      </c>
      <c r="U106" s="136">
        <v>1</v>
      </c>
      <c r="V106" s="446">
        <f>IF(OR(U106="",U107=""),"",U106+U107)</f>
        <v>3</v>
      </c>
      <c r="W106" s="446"/>
      <c r="X106" s="467" t="str">
        <f ca="1">VLOOKUP(AS106,U10組合せ!$B$10:$I$17,5,TRUE)</f>
        <v>石井FC</v>
      </c>
      <c r="Y106" s="468"/>
      <c r="Z106" s="468"/>
      <c r="AA106" s="468"/>
      <c r="AB106" s="468"/>
      <c r="AC106" s="468"/>
      <c r="AD106" s="468"/>
      <c r="AE106" s="449"/>
      <c r="AF106" s="449"/>
      <c r="AG106" s="449"/>
      <c r="AH106" s="449"/>
      <c r="AI106" s="446" t="str">
        <f ca="1">DBCS(VLOOKUP(B106,U10対戦スケジュール!G$35:L$38,6,TRUE))</f>
        <v>７／１／３／７</v>
      </c>
      <c r="AJ106" s="449" t="e">
        <f>VLOOKUP(#REF!,U10対戦スケジュール!#REF!,3,TRUE)</f>
        <v>#REF!</v>
      </c>
      <c r="AK106" s="449" t="e">
        <f>VLOOKUP(#REF!,U10対戦スケジュール!#REF!,3,TRUE)</f>
        <v>#REF!</v>
      </c>
      <c r="AL106" s="449" t="e">
        <f>VLOOKUP(#REF!,U10対戦スケジュール!#REF!,3,TRUE)</f>
        <v>#REF!</v>
      </c>
      <c r="AM106" s="449" t="e">
        <f>VLOOKUP(#REF!,U10対戦スケジュール!#REF!,3,TRUE)</f>
        <v>#REF!</v>
      </c>
      <c r="AN106" s="449" t="e">
        <f>VLOOKUP(#REF!,U10対戦スケジュール!#REF!,3,TRUE)</f>
        <v>#REF!</v>
      </c>
      <c r="AO106" s="449" t="e">
        <f>VLOOKUP(#REF!,U10対戦スケジュール!#REF!,3,TRUE)</f>
        <v>#REF!</v>
      </c>
      <c r="AP106" s="449" t="e">
        <f>VLOOKUP(#REF!,U10対戦スケジュール!#REF!,3,TRUE)</f>
        <v>#REF!</v>
      </c>
      <c r="AR106" s="151">
        <f ca="1">VLOOKUP(B106,U10対戦スケジュール!G$35:L$38,3,TRUE)</f>
        <v>1</v>
      </c>
      <c r="AS106" s="151">
        <f ca="1">VLOOKUP(B106,U10対戦スケジュール!G$35:L$38,5)</f>
        <v>3</v>
      </c>
    </row>
    <row r="107" spans="2:45" ht="20.100000000000001" customHeight="1" x14ac:dyDescent="0.4">
      <c r="B107" s="442"/>
      <c r="C107" s="464"/>
      <c r="D107" s="465"/>
      <c r="E107" s="466"/>
      <c r="F107" s="449"/>
      <c r="G107" s="449"/>
      <c r="H107" s="449"/>
      <c r="I107" s="449"/>
      <c r="J107" s="468"/>
      <c r="K107" s="468"/>
      <c r="L107" s="468"/>
      <c r="M107" s="468"/>
      <c r="N107" s="468"/>
      <c r="O107" s="468"/>
      <c r="P107" s="468"/>
      <c r="Q107" s="446"/>
      <c r="R107" s="446"/>
      <c r="S107" s="136">
        <v>0</v>
      </c>
      <c r="T107" s="137" t="s">
        <v>8</v>
      </c>
      <c r="U107" s="136">
        <v>2</v>
      </c>
      <c r="V107" s="446"/>
      <c r="W107" s="446"/>
      <c r="X107" s="468"/>
      <c r="Y107" s="468"/>
      <c r="Z107" s="468"/>
      <c r="AA107" s="468"/>
      <c r="AB107" s="468"/>
      <c r="AC107" s="468"/>
      <c r="AD107" s="468"/>
      <c r="AE107" s="449"/>
      <c r="AF107" s="449"/>
      <c r="AG107" s="449"/>
      <c r="AH107" s="449"/>
      <c r="AI107" s="449" t="e">
        <f>VLOOKUP(#REF!,U10対戦スケジュール!#REF!,3,TRUE)</f>
        <v>#REF!</v>
      </c>
      <c r="AJ107" s="449" t="e">
        <f>VLOOKUP(#REF!,U10対戦スケジュール!#REF!,3,TRUE)</f>
        <v>#REF!</v>
      </c>
      <c r="AK107" s="449" t="e">
        <f>VLOOKUP(#REF!,U10対戦スケジュール!#REF!,3,TRUE)</f>
        <v>#REF!</v>
      </c>
      <c r="AL107" s="449" t="e">
        <f>VLOOKUP(#REF!,U10対戦スケジュール!#REF!,3,TRUE)</f>
        <v>#REF!</v>
      </c>
      <c r="AM107" s="449" t="e">
        <f>VLOOKUP(#REF!,U10対戦スケジュール!#REF!,3,TRUE)</f>
        <v>#REF!</v>
      </c>
      <c r="AN107" s="449" t="e">
        <f>VLOOKUP(#REF!,U10対戦スケジュール!#REF!,3,TRUE)</f>
        <v>#REF!</v>
      </c>
      <c r="AO107" s="449" t="e">
        <f>VLOOKUP(#REF!,U10対戦スケジュール!#REF!,3,TRUE)</f>
        <v>#REF!</v>
      </c>
      <c r="AP107" s="449" t="e">
        <f>VLOOKUP(#REF!,U10対戦スケジュール!#REF!,3,TRUE)</f>
        <v>#REF!</v>
      </c>
      <c r="AR107" s="151"/>
      <c r="AS107" s="151"/>
    </row>
    <row r="108" spans="2:45" ht="20.100000000000001" customHeight="1" x14ac:dyDescent="0.4">
      <c r="B108" s="442" t="str">
        <f ca="1">DBCS(INDIRECT("U10対戦スケジュール!G"&amp;(ROW())/2-18))</f>
        <v>②</v>
      </c>
      <c r="C108" s="461">
        <f ca="1">VLOOKUP(B108,U10対戦スケジュール!G$35:L$38,2,TRUE)</f>
        <v>0.41000000000000003</v>
      </c>
      <c r="D108" s="462"/>
      <c r="E108" s="463"/>
      <c r="F108" s="449"/>
      <c r="G108" s="449"/>
      <c r="H108" s="449"/>
      <c r="I108" s="449"/>
      <c r="J108" s="467" t="str">
        <f ca="1">VLOOKUP(AR108,U10組合せ!$B$10:$I$17,5,TRUE)</f>
        <v>石井FC</v>
      </c>
      <c r="K108" s="468"/>
      <c r="L108" s="468"/>
      <c r="M108" s="468"/>
      <c r="N108" s="468"/>
      <c r="O108" s="468"/>
      <c r="P108" s="468"/>
      <c r="Q108" s="446">
        <f>IF(OR(S108="",S109=""),"",S108+S109)</f>
        <v>0</v>
      </c>
      <c r="R108" s="446"/>
      <c r="S108" s="136">
        <v>0</v>
      </c>
      <c r="T108" s="137" t="s">
        <v>8</v>
      </c>
      <c r="U108" s="136">
        <v>3</v>
      </c>
      <c r="V108" s="446">
        <f>IF(OR(U108="",U109=""),"",U108+U109)</f>
        <v>7</v>
      </c>
      <c r="W108" s="446"/>
      <c r="X108" s="467" t="str">
        <f ca="1">VLOOKUP(AS108,U10組合せ!$B$10:$I$17,5,TRUE)</f>
        <v>FCアリーバ</v>
      </c>
      <c r="Y108" s="468"/>
      <c r="Z108" s="468"/>
      <c r="AA108" s="468"/>
      <c r="AB108" s="468"/>
      <c r="AC108" s="468"/>
      <c r="AD108" s="468"/>
      <c r="AE108" s="449"/>
      <c r="AF108" s="449"/>
      <c r="AG108" s="449"/>
      <c r="AH108" s="449"/>
      <c r="AI108" s="446" t="str">
        <f ca="1">DBCS(VLOOKUP(B108,U10対戦スケジュール!G$35:L$38,6,TRUE))</f>
        <v>１／３／７／１</v>
      </c>
      <c r="AJ108" s="449" t="e">
        <f>VLOOKUP(#REF!,U10対戦スケジュール!#REF!,3,TRUE)</f>
        <v>#REF!</v>
      </c>
      <c r="AK108" s="449" t="e">
        <f>VLOOKUP(#REF!,U10対戦スケジュール!#REF!,3,TRUE)</f>
        <v>#REF!</v>
      </c>
      <c r="AL108" s="449" t="e">
        <f>VLOOKUP(#REF!,U10対戦スケジュール!#REF!,3,TRUE)</f>
        <v>#REF!</v>
      </c>
      <c r="AM108" s="449" t="e">
        <f>VLOOKUP(#REF!,U10対戦スケジュール!#REF!,3,TRUE)</f>
        <v>#REF!</v>
      </c>
      <c r="AN108" s="449" t="e">
        <f>VLOOKUP(#REF!,U10対戦スケジュール!#REF!,3,TRUE)</f>
        <v>#REF!</v>
      </c>
      <c r="AO108" s="449" t="e">
        <f>VLOOKUP(#REF!,U10対戦スケジュール!#REF!,3,TRUE)</f>
        <v>#REF!</v>
      </c>
      <c r="AP108" s="449" t="e">
        <f>VLOOKUP(#REF!,U10対戦スケジュール!#REF!,3,TRUE)</f>
        <v>#REF!</v>
      </c>
      <c r="AR108" s="151">
        <f ca="1">VLOOKUP(B108,U10対戦スケジュール!G$35:L$38,3,TRUE)</f>
        <v>3</v>
      </c>
      <c r="AS108" s="151">
        <f ca="1">VLOOKUP(B108,U10対戦スケジュール!G$35:L$38,5)</f>
        <v>7</v>
      </c>
    </row>
    <row r="109" spans="2:45" ht="20.100000000000001" customHeight="1" x14ac:dyDescent="0.4">
      <c r="B109" s="442"/>
      <c r="C109" s="464"/>
      <c r="D109" s="465"/>
      <c r="E109" s="466"/>
      <c r="F109" s="449"/>
      <c r="G109" s="449"/>
      <c r="H109" s="449"/>
      <c r="I109" s="449"/>
      <c r="J109" s="468"/>
      <c r="K109" s="468"/>
      <c r="L109" s="468"/>
      <c r="M109" s="468"/>
      <c r="N109" s="468"/>
      <c r="O109" s="468"/>
      <c r="P109" s="468"/>
      <c r="Q109" s="446"/>
      <c r="R109" s="446"/>
      <c r="S109" s="136">
        <v>0</v>
      </c>
      <c r="T109" s="137" t="s">
        <v>8</v>
      </c>
      <c r="U109" s="136">
        <v>4</v>
      </c>
      <c r="V109" s="446"/>
      <c r="W109" s="446"/>
      <c r="X109" s="468"/>
      <c r="Y109" s="468"/>
      <c r="Z109" s="468"/>
      <c r="AA109" s="468"/>
      <c r="AB109" s="468"/>
      <c r="AC109" s="468"/>
      <c r="AD109" s="468"/>
      <c r="AE109" s="449"/>
      <c r="AF109" s="449"/>
      <c r="AG109" s="449"/>
      <c r="AH109" s="449"/>
      <c r="AI109" s="449" t="e">
        <f>VLOOKUP(#REF!,U10対戦スケジュール!#REF!,3,TRUE)</f>
        <v>#REF!</v>
      </c>
      <c r="AJ109" s="449" t="e">
        <f>VLOOKUP(#REF!,U10対戦スケジュール!#REF!,3,TRUE)</f>
        <v>#REF!</v>
      </c>
      <c r="AK109" s="449" t="e">
        <f>VLOOKUP(#REF!,U10対戦スケジュール!#REF!,3,TRUE)</f>
        <v>#REF!</v>
      </c>
      <c r="AL109" s="449" t="e">
        <f>VLOOKUP(#REF!,U10対戦スケジュール!#REF!,3,TRUE)</f>
        <v>#REF!</v>
      </c>
      <c r="AM109" s="449" t="e">
        <f>VLOOKUP(#REF!,U10対戦スケジュール!#REF!,3,TRUE)</f>
        <v>#REF!</v>
      </c>
      <c r="AN109" s="449" t="e">
        <f>VLOOKUP(#REF!,U10対戦スケジュール!#REF!,3,TRUE)</f>
        <v>#REF!</v>
      </c>
      <c r="AO109" s="449" t="e">
        <f>VLOOKUP(#REF!,U10対戦スケジュール!#REF!,3,TRUE)</f>
        <v>#REF!</v>
      </c>
      <c r="AP109" s="449" t="e">
        <f>VLOOKUP(#REF!,U10対戦スケジュール!#REF!,3,TRUE)</f>
        <v>#REF!</v>
      </c>
    </row>
    <row r="110" spans="2:45" ht="20.100000000000001" customHeight="1" x14ac:dyDescent="0.4">
      <c r="B110" s="442" t="str">
        <f ca="1">DBCS(INDIRECT("U10対戦スケジュール!G"&amp;(ROW())/2-18))</f>
        <v>③</v>
      </c>
      <c r="C110" s="461">
        <f ca="1">VLOOKUP(B110,U10対戦スケジュール!G$35:L$38,2,TRUE)</f>
        <v>0.44500000000000006</v>
      </c>
      <c r="D110" s="462"/>
      <c r="E110" s="463"/>
      <c r="F110" s="449"/>
      <c r="G110" s="449"/>
      <c r="H110" s="449"/>
      <c r="I110" s="449"/>
      <c r="J110" s="467" t="str">
        <f ca="1">VLOOKUP(AR110,U10組合せ!$B$10:$I$17,5,TRUE)</f>
        <v>宝木キッカーズ</v>
      </c>
      <c r="K110" s="468"/>
      <c r="L110" s="468"/>
      <c r="M110" s="468"/>
      <c r="N110" s="468"/>
      <c r="O110" s="468"/>
      <c r="P110" s="468"/>
      <c r="Q110" s="446">
        <f>IF(OR(S110="",S111=""),"",S110+S111)</f>
        <v>3</v>
      </c>
      <c r="R110" s="446"/>
      <c r="S110" s="136">
        <v>3</v>
      </c>
      <c r="T110" s="137"/>
      <c r="U110" s="136">
        <v>0</v>
      </c>
      <c r="V110" s="446">
        <f>IF(OR(U110="",U111=""),"",U110+U111)</f>
        <v>2</v>
      </c>
      <c r="W110" s="446"/>
      <c r="X110" s="467" t="str">
        <f ca="1">VLOOKUP(AS110,U10組合せ!$B$10:$I$17,5,TRUE)</f>
        <v>FCアリーバ</v>
      </c>
      <c r="Y110" s="468"/>
      <c r="Z110" s="468"/>
      <c r="AA110" s="468"/>
      <c r="AB110" s="468"/>
      <c r="AC110" s="468"/>
      <c r="AD110" s="468"/>
      <c r="AE110" s="449"/>
      <c r="AF110" s="449"/>
      <c r="AG110" s="449"/>
      <c r="AH110" s="449"/>
      <c r="AI110" s="446" t="str">
        <f ca="1">DBCS(VLOOKUP(B110,U10対戦スケジュール!G$35:L$38,6,TRUE))</f>
        <v>３／７／１／３</v>
      </c>
      <c r="AJ110" s="449" t="e">
        <f>VLOOKUP(#REF!,U10対戦スケジュール!#REF!,3,TRUE)</f>
        <v>#REF!</v>
      </c>
      <c r="AK110" s="449" t="e">
        <f>VLOOKUP(#REF!,U10対戦スケジュール!#REF!,3,TRUE)</f>
        <v>#REF!</v>
      </c>
      <c r="AL110" s="449" t="e">
        <f>VLOOKUP(#REF!,U10対戦スケジュール!#REF!,3,TRUE)</f>
        <v>#REF!</v>
      </c>
      <c r="AM110" s="449" t="e">
        <f>VLOOKUP(#REF!,U10対戦スケジュール!#REF!,3,TRUE)</f>
        <v>#REF!</v>
      </c>
      <c r="AN110" s="449" t="e">
        <f>VLOOKUP(#REF!,U10対戦スケジュール!#REF!,3,TRUE)</f>
        <v>#REF!</v>
      </c>
      <c r="AO110" s="449" t="e">
        <f>VLOOKUP(#REF!,U10対戦スケジュール!#REF!,3,TRUE)</f>
        <v>#REF!</v>
      </c>
      <c r="AP110" s="449" t="e">
        <f>VLOOKUP(#REF!,U10対戦スケジュール!#REF!,3,TRUE)</f>
        <v>#REF!</v>
      </c>
      <c r="AR110" s="151">
        <f ca="1">VLOOKUP(B110,U10対戦スケジュール!G$35:L$38,3,TRUE)</f>
        <v>1</v>
      </c>
      <c r="AS110" s="151">
        <f ca="1">VLOOKUP(B110,U10対戦スケジュール!G$35:L$38,5)</f>
        <v>7</v>
      </c>
    </row>
    <row r="111" spans="2:45" ht="20.100000000000001" customHeight="1" x14ac:dyDescent="0.4">
      <c r="B111" s="442"/>
      <c r="C111" s="464"/>
      <c r="D111" s="465"/>
      <c r="E111" s="466"/>
      <c r="F111" s="449"/>
      <c r="G111" s="449"/>
      <c r="H111" s="449"/>
      <c r="I111" s="449"/>
      <c r="J111" s="468"/>
      <c r="K111" s="468"/>
      <c r="L111" s="468"/>
      <c r="M111" s="468"/>
      <c r="N111" s="468"/>
      <c r="O111" s="468"/>
      <c r="P111" s="468"/>
      <c r="Q111" s="446"/>
      <c r="R111" s="446"/>
      <c r="S111" s="136">
        <v>0</v>
      </c>
      <c r="T111" s="137"/>
      <c r="U111" s="136">
        <v>2</v>
      </c>
      <c r="V111" s="446"/>
      <c r="W111" s="446"/>
      <c r="X111" s="468"/>
      <c r="Y111" s="468"/>
      <c r="Z111" s="468"/>
      <c r="AA111" s="468"/>
      <c r="AB111" s="468"/>
      <c r="AC111" s="468"/>
      <c r="AD111" s="468"/>
      <c r="AE111" s="449"/>
      <c r="AF111" s="449"/>
      <c r="AG111" s="449"/>
      <c r="AH111" s="449"/>
      <c r="AI111" s="449" t="e">
        <f>VLOOKUP(#REF!,U10対戦スケジュール!#REF!,3,TRUE)</f>
        <v>#REF!</v>
      </c>
      <c r="AJ111" s="449" t="e">
        <f>VLOOKUP(#REF!,U10対戦スケジュール!#REF!,3,TRUE)</f>
        <v>#REF!</v>
      </c>
      <c r="AK111" s="449" t="e">
        <f>VLOOKUP(#REF!,U10対戦スケジュール!#REF!,3,TRUE)</f>
        <v>#REF!</v>
      </c>
      <c r="AL111" s="449" t="e">
        <f>VLOOKUP(#REF!,U10対戦スケジュール!#REF!,3,TRUE)</f>
        <v>#REF!</v>
      </c>
      <c r="AM111" s="449" t="e">
        <f>VLOOKUP(#REF!,U10対戦スケジュール!#REF!,3,TRUE)</f>
        <v>#REF!</v>
      </c>
      <c r="AN111" s="449" t="e">
        <f>VLOOKUP(#REF!,U10対戦スケジュール!#REF!,3,TRUE)</f>
        <v>#REF!</v>
      </c>
      <c r="AO111" s="449" t="e">
        <f>VLOOKUP(#REF!,U10対戦スケジュール!#REF!,3,TRUE)</f>
        <v>#REF!</v>
      </c>
      <c r="AP111" s="449" t="e">
        <f>VLOOKUP(#REF!,U10対戦スケジュール!#REF!,3,TRUE)</f>
        <v>#REF!</v>
      </c>
      <c r="AR111" s="151"/>
      <c r="AS111" s="151"/>
    </row>
    <row r="112" spans="2:45" ht="20.100000000000001" customHeight="1" x14ac:dyDescent="0.4">
      <c r="B112" s="442"/>
      <c r="C112" s="461"/>
      <c r="D112" s="462"/>
      <c r="E112" s="463"/>
      <c r="F112" s="449"/>
      <c r="G112" s="449"/>
      <c r="H112" s="449"/>
      <c r="I112" s="449"/>
      <c r="J112" s="467"/>
      <c r="K112" s="468"/>
      <c r="L112" s="468"/>
      <c r="M112" s="468"/>
      <c r="N112" s="468"/>
      <c r="O112" s="468"/>
      <c r="P112" s="468"/>
      <c r="Q112" s="446"/>
      <c r="R112" s="446"/>
      <c r="S112" s="136"/>
      <c r="T112" s="137"/>
      <c r="U112" s="136"/>
      <c r="V112" s="446"/>
      <c r="W112" s="446"/>
      <c r="X112" s="467"/>
      <c r="Y112" s="468"/>
      <c r="Z112" s="468"/>
      <c r="AA112" s="468"/>
      <c r="AB112" s="468"/>
      <c r="AC112" s="468"/>
      <c r="AD112" s="468"/>
      <c r="AE112" s="449"/>
      <c r="AF112" s="449"/>
      <c r="AG112" s="449"/>
      <c r="AH112" s="449"/>
      <c r="AI112" s="446"/>
      <c r="AJ112" s="449"/>
      <c r="AK112" s="449"/>
      <c r="AL112" s="449"/>
      <c r="AM112" s="449"/>
      <c r="AN112" s="449"/>
      <c r="AO112" s="449"/>
      <c r="AP112" s="449"/>
      <c r="AR112" s="151"/>
      <c r="AS112" s="151"/>
    </row>
    <row r="113" spans="1:45" ht="20.100000000000001" customHeight="1" x14ac:dyDescent="0.4">
      <c r="B113" s="442"/>
      <c r="C113" s="464"/>
      <c r="D113" s="465"/>
      <c r="E113" s="466"/>
      <c r="F113" s="449"/>
      <c r="G113" s="449"/>
      <c r="H113" s="449"/>
      <c r="I113" s="449"/>
      <c r="J113" s="468"/>
      <c r="K113" s="468"/>
      <c r="L113" s="468"/>
      <c r="M113" s="468"/>
      <c r="N113" s="468"/>
      <c r="O113" s="468"/>
      <c r="P113" s="468"/>
      <c r="Q113" s="446"/>
      <c r="R113" s="446"/>
      <c r="S113" s="136"/>
      <c r="T113" s="137"/>
      <c r="U113" s="136"/>
      <c r="V113" s="446"/>
      <c r="W113" s="446"/>
      <c r="X113" s="468"/>
      <c r="Y113" s="468"/>
      <c r="Z113" s="468"/>
      <c r="AA113" s="468"/>
      <c r="AB113" s="468"/>
      <c r="AC113" s="468"/>
      <c r="AD113" s="468"/>
      <c r="AE113" s="449"/>
      <c r="AF113" s="449"/>
      <c r="AG113" s="449"/>
      <c r="AH113" s="449"/>
      <c r="AI113" s="449"/>
      <c r="AJ113" s="449"/>
      <c r="AK113" s="449"/>
      <c r="AL113" s="449"/>
      <c r="AM113" s="449"/>
      <c r="AN113" s="449"/>
      <c r="AO113" s="449"/>
      <c r="AP113" s="449"/>
      <c r="AR113" s="151"/>
      <c r="AS113" s="151"/>
    </row>
    <row r="114" spans="1:45" ht="20.100000000000001" customHeight="1" x14ac:dyDescent="0.4">
      <c r="B114" s="442"/>
      <c r="C114" s="450"/>
      <c r="D114" s="450"/>
      <c r="E114" s="450"/>
      <c r="F114" s="449"/>
      <c r="G114" s="449"/>
      <c r="H114" s="449"/>
      <c r="I114" s="449"/>
      <c r="J114" s="447"/>
      <c r="K114" s="448"/>
      <c r="L114" s="448"/>
      <c r="M114" s="448"/>
      <c r="N114" s="448"/>
      <c r="O114" s="448"/>
      <c r="P114" s="448"/>
      <c r="Q114" s="446"/>
      <c r="R114" s="446"/>
      <c r="S114" s="136"/>
      <c r="T114" s="137"/>
      <c r="U114" s="136"/>
      <c r="V114" s="446"/>
      <c r="W114" s="446"/>
      <c r="X114" s="447"/>
      <c r="Y114" s="448"/>
      <c r="Z114" s="448"/>
      <c r="AA114" s="448"/>
      <c r="AB114" s="448"/>
      <c r="AC114" s="448"/>
      <c r="AD114" s="448"/>
      <c r="AE114" s="449"/>
      <c r="AF114" s="449"/>
      <c r="AG114" s="449"/>
      <c r="AH114" s="449"/>
      <c r="AI114" s="446"/>
      <c r="AJ114" s="449"/>
      <c r="AK114" s="449"/>
      <c r="AL114" s="449"/>
      <c r="AM114" s="449"/>
      <c r="AN114" s="449"/>
      <c r="AO114" s="449"/>
      <c r="AP114" s="449"/>
      <c r="AR114" s="151"/>
      <c r="AS114" s="151"/>
    </row>
    <row r="115" spans="1:45" ht="20.100000000000001" customHeight="1" x14ac:dyDescent="0.4">
      <c r="B115" s="442"/>
      <c r="C115" s="450"/>
      <c r="D115" s="450"/>
      <c r="E115" s="450"/>
      <c r="F115" s="449"/>
      <c r="G115" s="449"/>
      <c r="H115" s="449"/>
      <c r="I115" s="449"/>
      <c r="J115" s="448"/>
      <c r="K115" s="448"/>
      <c r="L115" s="448"/>
      <c r="M115" s="448"/>
      <c r="N115" s="448"/>
      <c r="O115" s="448"/>
      <c r="P115" s="448"/>
      <c r="Q115" s="446"/>
      <c r="R115" s="446"/>
      <c r="S115" s="136"/>
      <c r="T115" s="137"/>
      <c r="U115" s="136"/>
      <c r="V115" s="446"/>
      <c r="W115" s="446"/>
      <c r="X115" s="448"/>
      <c r="Y115" s="448"/>
      <c r="Z115" s="448"/>
      <c r="AA115" s="448"/>
      <c r="AB115" s="448"/>
      <c r="AC115" s="448"/>
      <c r="AD115" s="448"/>
      <c r="AE115" s="449"/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R115" s="151"/>
      <c r="AS115" s="151"/>
    </row>
    <row r="116" spans="1:45" ht="20.100000000000001" customHeight="1" x14ac:dyDescent="0.4">
      <c r="B116" s="442"/>
      <c r="C116" s="450"/>
      <c r="D116" s="450"/>
      <c r="E116" s="450"/>
      <c r="F116" s="449"/>
      <c r="G116" s="449"/>
      <c r="H116" s="449"/>
      <c r="I116" s="449"/>
      <c r="J116" s="447"/>
      <c r="K116" s="448"/>
      <c r="L116" s="448"/>
      <c r="M116" s="448"/>
      <c r="N116" s="448"/>
      <c r="O116" s="448"/>
      <c r="P116" s="448"/>
      <c r="Q116" s="446"/>
      <c r="R116" s="446"/>
      <c r="S116" s="136"/>
      <c r="T116" s="137"/>
      <c r="U116" s="136"/>
      <c r="V116" s="446"/>
      <c r="W116" s="446"/>
      <c r="X116" s="447"/>
      <c r="Y116" s="448"/>
      <c r="Z116" s="448"/>
      <c r="AA116" s="448"/>
      <c r="AB116" s="448"/>
      <c r="AC116" s="448"/>
      <c r="AD116" s="448"/>
      <c r="AE116" s="449"/>
      <c r="AF116" s="449"/>
      <c r="AG116" s="449"/>
      <c r="AH116" s="449"/>
      <c r="AI116" s="446"/>
      <c r="AJ116" s="449"/>
      <c r="AK116" s="449"/>
      <c r="AL116" s="449"/>
      <c r="AM116" s="449"/>
      <c r="AN116" s="449"/>
      <c r="AO116" s="449"/>
      <c r="AP116" s="449"/>
      <c r="AR116" s="151"/>
      <c r="AS116" s="151"/>
    </row>
    <row r="117" spans="1:45" ht="20.100000000000001" customHeight="1" x14ac:dyDescent="0.4">
      <c r="B117" s="442"/>
      <c r="C117" s="450"/>
      <c r="D117" s="450"/>
      <c r="E117" s="450"/>
      <c r="F117" s="449"/>
      <c r="G117" s="449"/>
      <c r="H117" s="449"/>
      <c r="I117" s="449"/>
      <c r="J117" s="448"/>
      <c r="K117" s="448"/>
      <c r="L117" s="448"/>
      <c r="M117" s="448"/>
      <c r="N117" s="448"/>
      <c r="O117" s="448"/>
      <c r="P117" s="448"/>
      <c r="Q117" s="446"/>
      <c r="R117" s="446"/>
      <c r="S117" s="136"/>
      <c r="T117" s="137"/>
      <c r="U117" s="136"/>
      <c r="V117" s="446"/>
      <c r="W117" s="446"/>
      <c r="X117" s="448"/>
      <c r="Y117" s="448"/>
      <c r="Z117" s="448"/>
      <c r="AA117" s="448"/>
      <c r="AB117" s="448"/>
      <c r="AC117" s="448"/>
      <c r="AD117" s="448"/>
      <c r="AE117" s="449"/>
      <c r="AF117" s="449"/>
      <c r="AG117" s="449"/>
      <c r="AH117" s="449"/>
      <c r="AI117" s="449"/>
      <c r="AJ117" s="449"/>
      <c r="AK117" s="449"/>
      <c r="AL117" s="449"/>
      <c r="AM117" s="449"/>
      <c r="AN117" s="449"/>
      <c r="AO117" s="449"/>
      <c r="AP117" s="449"/>
      <c r="AR117" s="151"/>
      <c r="AS117" s="151"/>
    </row>
    <row r="118" spans="1:45" ht="20.100000000000001" customHeight="1" x14ac:dyDescent="0.4">
      <c r="B118" s="442"/>
      <c r="C118" s="450"/>
      <c r="D118" s="450"/>
      <c r="E118" s="450"/>
      <c r="F118" s="449"/>
      <c r="G118" s="449"/>
      <c r="H118" s="449"/>
      <c r="I118" s="449"/>
      <c r="J118" s="447"/>
      <c r="K118" s="448"/>
      <c r="L118" s="448"/>
      <c r="M118" s="448"/>
      <c r="N118" s="448"/>
      <c r="O118" s="448"/>
      <c r="P118" s="448"/>
      <c r="Q118" s="446"/>
      <c r="R118" s="446"/>
      <c r="S118" s="136"/>
      <c r="T118" s="137"/>
      <c r="U118" s="136"/>
      <c r="V118" s="446"/>
      <c r="W118" s="446"/>
      <c r="X118" s="447"/>
      <c r="Y118" s="448"/>
      <c r="Z118" s="448"/>
      <c r="AA118" s="448"/>
      <c r="AB118" s="448"/>
      <c r="AC118" s="448"/>
      <c r="AD118" s="448"/>
      <c r="AE118" s="449"/>
      <c r="AF118" s="449"/>
      <c r="AG118" s="449"/>
      <c r="AH118" s="449"/>
      <c r="AI118" s="446"/>
      <c r="AJ118" s="449"/>
      <c r="AK118" s="449"/>
      <c r="AL118" s="449"/>
      <c r="AM118" s="449"/>
      <c r="AN118" s="449"/>
      <c r="AO118" s="449"/>
      <c r="AP118" s="449"/>
      <c r="AR118" s="151"/>
      <c r="AS118" s="151"/>
    </row>
    <row r="119" spans="1:45" ht="20.100000000000001" customHeight="1" x14ac:dyDescent="0.4">
      <c r="B119" s="442"/>
      <c r="C119" s="450"/>
      <c r="D119" s="450"/>
      <c r="E119" s="450"/>
      <c r="F119" s="449"/>
      <c r="G119" s="449"/>
      <c r="H119" s="449"/>
      <c r="I119" s="449"/>
      <c r="J119" s="448"/>
      <c r="K119" s="448"/>
      <c r="L119" s="448"/>
      <c r="M119" s="448"/>
      <c r="N119" s="448"/>
      <c r="O119" s="448"/>
      <c r="P119" s="448"/>
      <c r="Q119" s="446"/>
      <c r="R119" s="446"/>
      <c r="S119" s="136"/>
      <c r="T119" s="137"/>
      <c r="U119" s="136"/>
      <c r="V119" s="446"/>
      <c r="W119" s="446"/>
      <c r="X119" s="448"/>
      <c r="Y119" s="448"/>
      <c r="Z119" s="448"/>
      <c r="AA119" s="448"/>
      <c r="AB119" s="448"/>
      <c r="AC119" s="448"/>
      <c r="AD119" s="448"/>
      <c r="AE119" s="449"/>
      <c r="AF119" s="449"/>
      <c r="AG119" s="449"/>
      <c r="AH119" s="449"/>
      <c r="AI119" s="449"/>
      <c r="AJ119" s="449"/>
      <c r="AK119" s="449"/>
      <c r="AL119" s="449"/>
      <c r="AM119" s="449"/>
      <c r="AN119" s="449"/>
      <c r="AO119" s="449"/>
      <c r="AP119" s="449"/>
    </row>
    <row r="120" spans="1:45" ht="15.75" customHeight="1" x14ac:dyDescent="0.4">
      <c r="A120" s="138"/>
      <c r="B120" s="139"/>
      <c r="C120" s="140"/>
      <c r="D120" s="140"/>
      <c r="E120" s="140"/>
      <c r="F120" s="139"/>
      <c r="G120" s="139"/>
      <c r="H120" s="139"/>
      <c r="I120" s="139"/>
      <c r="J120" s="139"/>
      <c r="K120" s="141"/>
      <c r="L120" s="141"/>
      <c r="M120" s="142"/>
      <c r="N120" s="143"/>
      <c r="O120" s="142"/>
      <c r="P120" s="141"/>
      <c r="Q120" s="141"/>
      <c r="R120" s="139"/>
      <c r="S120" s="139"/>
      <c r="T120" s="139"/>
      <c r="U120" s="139"/>
      <c r="V120" s="139"/>
      <c r="W120" s="144"/>
      <c r="X120" s="144"/>
      <c r="Y120" s="144"/>
      <c r="Z120" s="144"/>
      <c r="AA120" s="144"/>
      <c r="AB120" s="144"/>
      <c r="AC120" s="138"/>
    </row>
    <row r="121" spans="1:45" ht="20.25" customHeight="1" x14ac:dyDescent="0.4">
      <c r="D121" s="442" t="s">
        <v>9</v>
      </c>
      <c r="E121" s="442"/>
      <c r="F121" s="442"/>
      <c r="G121" s="442"/>
      <c r="H121" s="442"/>
      <c r="I121" s="442"/>
      <c r="J121" s="442" t="s">
        <v>5</v>
      </c>
      <c r="K121" s="442"/>
      <c r="L121" s="442"/>
      <c r="M121" s="442"/>
      <c r="N121" s="442"/>
      <c r="O121" s="442"/>
      <c r="P121" s="442"/>
      <c r="Q121" s="442"/>
      <c r="R121" s="443" t="s">
        <v>10</v>
      </c>
      <c r="S121" s="443"/>
      <c r="T121" s="443"/>
      <c r="U121" s="443"/>
      <c r="V121" s="443"/>
      <c r="W121" s="443"/>
      <c r="X121" s="443"/>
      <c r="Y121" s="443"/>
      <c r="Z121" s="443"/>
      <c r="AA121" s="444" t="s">
        <v>11</v>
      </c>
      <c r="AB121" s="444"/>
      <c r="AC121" s="444"/>
      <c r="AD121" s="444" t="s">
        <v>12</v>
      </c>
      <c r="AE121" s="444"/>
      <c r="AF121" s="444"/>
      <c r="AG121" s="444"/>
      <c r="AH121" s="444"/>
      <c r="AI121" s="444"/>
      <c r="AJ121" s="444"/>
      <c r="AK121" s="444"/>
      <c r="AL121" s="444"/>
      <c r="AM121" s="444"/>
    </row>
    <row r="122" spans="1:45" ht="30" customHeight="1" x14ac:dyDescent="0.4">
      <c r="D122" s="442" t="s">
        <v>13</v>
      </c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5"/>
      <c r="AB122" s="445"/>
      <c r="AC122" s="445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</row>
    <row r="123" spans="1:45" ht="30" customHeight="1" x14ac:dyDescent="0.4">
      <c r="D123" s="442" t="s">
        <v>13</v>
      </c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4"/>
      <c r="AB123" s="444"/>
      <c r="AC123" s="444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</row>
    <row r="124" spans="1:45" ht="30" customHeight="1" x14ac:dyDescent="0.4">
      <c r="D124" s="442" t="s">
        <v>13</v>
      </c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4"/>
      <c r="AB124" s="444"/>
      <c r="AC124" s="444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1"/>
    </row>
    <row r="125" spans="1:45" ht="30" customHeight="1" x14ac:dyDescent="0.4">
      <c r="D125" s="442" t="s">
        <v>13</v>
      </c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4"/>
      <c r="AB125" s="444"/>
      <c r="AC125" s="444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</row>
    <row r="127" spans="1:45" ht="14.25" customHeight="1" x14ac:dyDescent="0.4">
      <c r="A127" s="274"/>
      <c r="B127" s="489" t="str">
        <f>U10組合せ!$B$1</f>
        <v>ＪＦＡ　Ｕ-１０サッカーリーグ2021（in栃木） 宇都宮地区リーグ戦（前期）</v>
      </c>
      <c r="C127" s="489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90" t="str">
        <f>"【"&amp;(U10組合せ!$F$3)&amp;"】"</f>
        <v>【Ｂ ブロック】</v>
      </c>
      <c r="AD127" s="490"/>
      <c r="AE127" s="490"/>
      <c r="AF127" s="490"/>
      <c r="AG127" s="490"/>
      <c r="AH127" s="490"/>
      <c r="AI127" s="490"/>
      <c r="AJ127" s="490"/>
      <c r="AK127" s="490" t="str">
        <f>"第"&amp;(U10組合せ!$F$31)</f>
        <v>第３節</v>
      </c>
      <c r="AL127" s="490"/>
      <c r="AM127" s="490"/>
      <c r="AN127" s="490"/>
      <c r="AO127" s="490"/>
      <c r="AP127" s="491" t="s">
        <v>195</v>
      </c>
      <c r="AQ127" s="492"/>
    </row>
    <row r="128" spans="1:45" ht="22.5" customHeight="1" x14ac:dyDescent="0.4">
      <c r="A128" s="274"/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90"/>
      <c r="AD128" s="490"/>
      <c r="AE128" s="490"/>
      <c r="AF128" s="490"/>
      <c r="AG128" s="490"/>
      <c r="AH128" s="490"/>
      <c r="AI128" s="490"/>
      <c r="AJ128" s="490"/>
      <c r="AK128" s="490"/>
      <c r="AL128" s="490"/>
      <c r="AM128" s="490"/>
      <c r="AN128" s="490"/>
      <c r="AO128" s="490"/>
      <c r="AP128" s="492"/>
      <c r="AQ128" s="492"/>
    </row>
    <row r="129" spans="2:45" ht="27.75" customHeight="1" x14ac:dyDescent="0.4">
      <c r="C129" s="477" t="s">
        <v>1</v>
      </c>
      <c r="D129" s="477"/>
      <c r="E129" s="477"/>
      <c r="F129" s="477"/>
      <c r="G129" s="478" t="str">
        <f>U10組合せ!G31</f>
        <v>姿川中央小</v>
      </c>
      <c r="H129" s="479"/>
      <c r="I129" s="479"/>
      <c r="J129" s="479"/>
      <c r="K129" s="479"/>
      <c r="L129" s="479"/>
      <c r="M129" s="479"/>
      <c r="N129" s="479"/>
      <c r="O129" s="480"/>
      <c r="P129" s="477" t="s">
        <v>0</v>
      </c>
      <c r="Q129" s="477"/>
      <c r="R129" s="477"/>
      <c r="S129" s="477"/>
      <c r="T129" s="481" t="str">
        <f>S132</f>
        <v>SUGAO・SC</v>
      </c>
      <c r="U129" s="481"/>
      <c r="V129" s="481"/>
      <c r="W129" s="481"/>
      <c r="X129" s="481"/>
      <c r="Y129" s="481"/>
      <c r="Z129" s="481"/>
      <c r="AA129" s="481"/>
      <c r="AB129" s="481"/>
      <c r="AC129" s="477" t="s">
        <v>2</v>
      </c>
      <c r="AD129" s="477"/>
      <c r="AE129" s="477"/>
      <c r="AF129" s="477"/>
      <c r="AG129" s="482">
        <f>U10組合せ!B$31</f>
        <v>44325</v>
      </c>
      <c r="AH129" s="483"/>
      <c r="AI129" s="483"/>
      <c r="AJ129" s="483"/>
      <c r="AK129" s="483"/>
      <c r="AL129" s="483"/>
      <c r="AM129" s="484" t="str">
        <f>"（"&amp;TEXT(AG129,"aaa")&amp;"）"</f>
        <v>（日）</v>
      </c>
      <c r="AN129" s="484"/>
      <c r="AO129" s="485"/>
    </row>
    <row r="130" spans="2:45" ht="15" customHeight="1" x14ac:dyDescent="0.4">
      <c r="C130" s="134" t="str">
        <f>U10組合せ!G32</f>
        <v>B1356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3"/>
      <c r="X130" s="133"/>
      <c r="Y130" s="133"/>
      <c r="Z130" s="133"/>
      <c r="AA130" s="133"/>
      <c r="AB130" s="133"/>
      <c r="AC130" s="133"/>
    </row>
    <row r="131" spans="2:45" s="155" customFormat="1" ht="29.25" customHeight="1" x14ac:dyDescent="0.4">
      <c r="B131" s="134"/>
      <c r="C131" s="481">
        <v>1</v>
      </c>
      <c r="D131" s="481"/>
      <c r="E131" s="488" t="str">
        <f>VLOOKUP(C131,U10組合せ!$B$10:$I$17,5,TRUE)</f>
        <v>宝木キッカーズ</v>
      </c>
      <c r="F131" s="488"/>
      <c r="G131" s="488"/>
      <c r="H131" s="488"/>
      <c r="I131" s="488"/>
      <c r="J131" s="488"/>
      <c r="K131" s="488"/>
      <c r="L131" s="488"/>
      <c r="M131" s="488"/>
      <c r="N131" s="488"/>
      <c r="O131" s="148"/>
      <c r="P131" s="148"/>
      <c r="Q131" s="486">
        <v>4</v>
      </c>
      <c r="R131" s="486"/>
      <c r="S131" s="487" t="str">
        <f>VLOOKUP(Q131,U10組合せ!$B$10:$I$17,5,TRUE)</f>
        <v>FCアネーロ・U-10</v>
      </c>
      <c r="T131" s="487"/>
      <c r="U131" s="487"/>
      <c r="V131" s="487"/>
      <c r="W131" s="487"/>
      <c r="X131" s="487"/>
      <c r="Y131" s="487"/>
      <c r="Z131" s="487"/>
      <c r="AA131" s="487"/>
      <c r="AB131" s="487"/>
      <c r="AC131" s="131"/>
      <c r="AD131" s="132"/>
      <c r="AE131" s="486">
        <v>7</v>
      </c>
      <c r="AF131" s="486"/>
      <c r="AG131" s="487" t="str">
        <f>VLOOKUP(AE131,U10組合せ!$B$10:$I$17,5,TRUE)</f>
        <v>FCアリーバ</v>
      </c>
      <c r="AH131" s="487"/>
      <c r="AI131" s="487"/>
      <c r="AJ131" s="487"/>
      <c r="AK131" s="487"/>
      <c r="AL131" s="487"/>
      <c r="AM131" s="487"/>
      <c r="AN131" s="487"/>
      <c r="AO131" s="487"/>
      <c r="AP131" s="487"/>
      <c r="AR131" s="155">
        <f>138/2</f>
        <v>69</v>
      </c>
    </row>
    <row r="132" spans="2:45" s="155" customFormat="1" ht="29.25" customHeight="1" x14ac:dyDescent="0.4">
      <c r="C132" s="486">
        <v>2</v>
      </c>
      <c r="D132" s="486"/>
      <c r="E132" s="487" t="str">
        <f>VLOOKUP(C132,U10組合せ!$B$10:$I$17,5,TRUE)</f>
        <v>栃木SC　U-10</v>
      </c>
      <c r="F132" s="487"/>
      <c r="G132" s="487"/>
      <c r="H132" s="487"/>
      <c r="I132" s="487"/>
      <c r="J132" s="487"/>
      <c r="K132" s="487"/>
      <c r="L132" s="487"/>
      <c r="M132" s="487"/>
      <c r="N132" s="487"/>
      <c r="O132" s="148"/>
      <c r="P132" s="148"/>
      <c r="Q132" s="481">
        <v>5</v>
      </c>
      <c r="R132" s="481"/>
      <c r="S132" s="488" t="str">
        <f>VLOOKUP(Q132,U10組合せ!$B$10:$I$17,5,TRUE)</f>
        <v>SUGAO・SC</v>
      </c>
      <c r="T132" s="488"/>
      <c r="U132" s="488"/>
      <c r="V132" s="488"/>
      <c r="W132" s="488"/>
      <c r="X132" s="488"/>
      <c r="Y132" s="488"/>
      <c r="Z132" s="488"/>
      <c r="AA132" s="488"/>
      <c r="AB132" s="488"/>
      <c r="AC132" s="131"/>
      <c r="AD132" s="132"/>
      <c r="AE132" s="486">
        <v>8</v>
      </c>
      <c r="AF132" s="486"/>
      <c r="AG132" s="487"/>
      <c r="AH132" s="487"/>
      <c r="AI132" s="487"/>
      <c r="AJ132" s="487"/>
      <c r="AK132" s="487"/>
      <c r="AL132" s="487"/>
      <c r="AM132" s="487"/>
      <c r="AN132" s="487"/>
      <c r="AO132" s="487"/>
      <c r="AP132" s="487"/>
      <c r="AR132" s="155">
        <v>45</v>
      </c>
    </row>
    <row r="133" spans="2:45" s="155" customFormat="1" ht="29.25" customHeight="1" x14ac:dyDescent="0.4">
      <c r="C133" s="481">
        <v>3</v>
      </c>
      <c r="D133" s="481"/>
      <c r="E133" s="488" t="str">
        <f>VLOOKUP(C133,U10組合せ!$B$10:$I$17,5,TRUE)</f>
        <v>石井FC</v>
      </c>
      <c r="F133" s="488"/>
      <c r="G133" s="488"/>
      <c r="H133" s="488"/>
      <c r="I133" s="488"/>
      <c r="J133" s="488"/>
      <c r="K133" s="488"/>
      <c r="L133" s="488"/>
      <c r="M133" s="488"/>
      <c r="N133" s="488"/>
      <c r="O133" s="148"/>
      <c r="P133" s="148"/>
      <c r="Q133" s="481">
        <v>6</v>
      </c>
      <c r="R133" s="481"/>
      <c r="S133" s="488" t="str">
        <f>VLOOKUP(Q133,U10組合せ!$B$10:$I$17,5,TRUE)</f>
        <v>スポルト宇都宮U10</v>
      </c>
      <c r="T133" s="488"/>
      <c r="U133" s="488"/>
      <c r="V133" s="488"/>
      <c r="W133" s="488"/>
      <c r="X133" s="488"/>
      <c r="Y133" s="488"/>
      <c r="Z133" s="488"/>
      <c r="AA133" s="488"/>
      <c r="AB133" s="488"/>
      <c r="AC133" s="131"/>
      <c r="AD133" s="132"/>
      <c r="AE133" s="486">
        <v>9</v>
      </c>
      <c r="AF133" s="486"/>
      <c r="AG133" s="487"/>
      <c r="AH133" s="487"/>
      <c r="AI133" s="487"/>
      <c r="AJ133" s="487"/>
      <c r="AK133" s="487"/>
      <c r="AL133" s="487"/>
      <c r="AM133" s="487"/>
      <c r="AN133" s="487"/>
      <c r="AO133" s="487"/>
      <c r="AP133" s="487"/>
      <c r="AR133" s="155">
        <f>AR131-AR132</f>
        <v>24</v>
      </c>
    </row>
    <row r="134" spans="2:45" ht="8.25" customHeight="1" x14ac:dyDescent="0.4">
      <c r="O134" s="138"/>
      <c r="P134" s="138"/>
      <c r="AC134" s="133"/>
    </row>
    <row r="135" spans="2:45" ht="8.25" customHeight="1" x14ac:dyDescent="0.4">
      <c r="C135" s="149"/>
      <c r="D135" s="150"/>
      <c r="E135" s="150"/>
      <c r="F135" s="150"/>
      <c r="G135" s="150"/>
      <c r="H135" s="150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50"/>
      <c r="U135" s="138"/>
      <c r="V135" s="150"/>
      <c r="W135" s="138"/>
      <c r="X135" s="150"/>
      <c r="Y135" s="138"/>
      <c r="Z135" s="150"/>
      <c r="AA135" s="138"/>
      <c r="AB135" s="150"/>
      <c r="AC135" s="150"/>
    </row>
    <row r="136" spans="2:45" ht="21" customHeight="1" x14ac:dyDescent="0.4">
      <c r="B136" s="134" t="s">
        <v>181</v>
      </c>
    </row>
    <row r="137" spans="2:45" ht="20.25" customHeight="1" x14ac:dyDescent="0.4">
      <c r="B137" s="135"/>
      <c r="C137" s="469" t="s">
        <v>3</v>
      </c>
      <c r="D137" s="469"/>
      <c r="E137" s="469"/>
      <c r="F137" s="470" t="s">
        <v>4</v>
      </c>
      <c r="G137" s="470"/>
      <c r="H137" s="470"/>
      <c r="I137" s="470"/>
      <c r="J137" s="469" t="s">
        <v>5</v>
      </c>
      <c r="K137" s="471"/>
      <c r="L137" s="471"/>
      <c r="M137" s="471"/>
      <c r="N137" s="471"/>
      <c r="O137" s="471"/>
      <c r="P137" s="471"/>
      <c r="Q137" s="469" t="s">
        <v>40</v>
      </c>
      <c r="R137" s="469"/>
      <c r="S137" s="469"/>
      <c r="T137" s="469"/>
      <c r="U137" s="469"/>
      <c r="V137" s="469"/>
      <c r="W137" s="469"/>
      <c r="X137" s="469" t="s">
        <v>5</v>
      </c>
      <c r="Y137" s="471"/>
      <c r="Z137" s="471"/>
      <c r="AA137" s="471"/>
      <c r="AB137" s="471"/>
      <c r="AC137" s="471"/>
      <c r="AD137" s="471"/>
      <c r="AE137" s="470" t="s">
        <v>4</v>
      </c>
      <c r="AF137" s="470"/>
      <c r="AG137" s="470"/>
      <c r="AH137" s="470"/>
      <c r="AI137" s="469" t="s">
        <v>7</v>
      </c>
      <c r="AJ137" s="469"/>
      <c r="AK137" s="471"/>
      <c r="AL137" s="471"/>
      <c r="AM137" s="471"/>
      <c r="AN137" s="471"/>
      <c r="AO137" s="471"/>
      <c r="AP137" s="471"/>
    </row>
    <row r="138" spans="2:45" ht="20.100000000000001" customHeight="1" x14ac:dyDescent="0.4">
      <c r="B138" s="442" t="str">
        <f ca="1">DBCS(INDIRECT("U10対戦スケジュール!G"&amp;(ROW())/2-24))</f>
        <v>①</v>
      </c>
      <c r="C138" s="461">
        <f ca="1">VLOOKUP(B138,U10対戦スケジュール!G$45:L$48,2,TRUE)</f>
        <v>0.375</v>
      </c>
      <c r="D138" s="462"/>
      <c r="E138" s="463"/>
      <c r="F138" s="449"/>
      <c r="G138" s="449"/>
      <c r="H138" s="449"/>
      <c r="I138" s="449"/>
      <c r="J138" s="467" t="str">
        <f ca="1">VLOOKUP(AR138,U10組合せ!$B$10:$I$17,5,TRUE)</f>
        <v>宝木キッカーズ</v>
      </c>
      <c r="K138" s="468"/>
      <c r="L138" s="468"/>
      <c r="M138" s="468"/>
      <c r="N138" s="468"/>
      <c r="O138" s="468"/>
      <c r="P138" s="468"/>
      <c r="Q138" s="446">
        <f>IF(OR(S138="",S139=""),"",S138+S139)</f>
        <v>6</v>
      </c>
      <c r="R138" s="446"/>
      <c r="S138" s="136">
        <v>0</v>
      </c>
      <c r="T138" s="137" t="s">
        <v>8</v>
      </c>
      <c r="U138" s="136">
        <v>2</v>
      </c>
      <c r="V138" s="446">
        <f>IF(OR(U138="",U139=""),"",U138+U139)</f>
        <v>2</v>
      </c>
      <c r="W138" s="446"/>
      <c r="X138" s="467" t="str">
        <f ca="1">VLOOKUP(AS138,U10組合せ!$B$10:$I$17,5,TRUE)</f>
        <v>SUGAO・SC</v>
      </c>
      <c r="Y138" s="468"/>
      <c r="Z138" s="468"/>
      <c r="AA138" s="468"/>
      <c r="AB138" s="468"/>
      <c r="AC138" s="468"/>
      <c r="AD138" s="468"/>
      <c r="AE138" s="449"/>
      <c r="AF138" s="449"/>
      <c r="AG138" s="449"/>
      <c r="AH138" s="449"/>
      <c r="AI138" s="446" t="str">
        <f ca="1">DBCS(VLOOKUP(B138,U10対戦スケジュール!G$45:L$48,6,TRUE))</f>
        <v>３／６／６／３</v>
      </c>
      <c r="AJ138" s="449" t="e">
        <f>VLOOKUP(#REF!,U10対戦スケジュール!#REF!,3,TRUE)</f>
        <v>#REF!</v>
      </c>
      <c r="AK138" s="449" t="e">
        <f>VLOOKUP(#REF!,U10対戦スケジュール!#REF!,3,TRUE)</f>
        <v>#REF!</v>
      </c>
      <c r="AL138" s="449" t="e">
        <f>VLOOKUP(#REF!,U10対戦スケジュール!#REF!,3,TRUE)</f>
        <v>#REF!</v>
      </c>
      <c r="AM138" s="449" t="e">
        <f>VLOOKUP(#REF!,U10対戦スケジュール!#REF!,3,TRUE)</f>
        <v>#REF!</v>
      </c>
      <c r="AN138" s="449" t="e">
        <f>VLOOKUP(#REF!,U10対戦スケジュール!#REF!,3,TRUE)</f>
        <v>#REF!</v>
      </c>
      <c r="AO138" s="449" t="e">
        <f>VLOOKUP(#REF!,U10対戦スケジュール!#REF!,3,TRUE)</f>
        <v>#REF!</v>
      </c>
      <c r="AP138" s="449" t="e">
        <f>VLOOKUP(#REF!,U10対戦スケジュール!#REF!,3,TRUE)</f>
        <v>#REF!</v>
      </c>
      <c r="AR138" s="151">
        <f ca="1">VLOOKUP(B138,U10対戦スケジュール!G$45:L$48,3,TRUE)</f>
        <v>1</v>
      </c>
      <c r="AS138" s="151">
        <f ca="1">VLOOKUP(B138,U10対戦スケジュール!G$45:L$48,5)</f>
        <v>5</v>
      </c>
    </row>
    <row r="139" spans="2:45" ht="20.100000000000001" customHeight="1" x14ac:dyDescent="0.4">
      <c r="B139" s="442"/>
      <c r="C139" s="464"/>
      <c r="D139" s="465"/>
      <c r="E139" s="466"/>
      <c r="F139" s="449"/>
      <c r="G139" s="449"/>
      <c r="H139" s="449"/>
      <c r="I139" s="449"/>
      <c r="J139" s="468"/>
      <c r="K139" s="468"/>
      <c r="L139" s="468"/>
      <c r="M139" s="468"/>
      <c r="N139" s="468"/>
      <c r="O139" s="468"/>
      <c r="P139" s="468"/>
      <c r="Q139" s="446"/>
      <c r="R139" s="446"/>
      <c r="S139" s="136">
        <v>6</v>
      </c>
      <c r="T139" s="137" t="s">
        <v>8</v>
      </c>
      <c r="U139" s="136">
        <v>0</v>
      </c>
      <c r="V139" s="446"/>
      <c r="W139" s="446"/>
      <c r="X139" s="468"/>
      <c r="Y139" s="468"/>
      <c r="Z139" s="468"/>
      <c r="AA139" s="468"/>
      <c r="AB139" s="468"/>
      <c r="AC139" s="468"/>
      <c r="AD139" s="468"/>
      <c r="AE139" s="449"/>
      <c r="AF139" s="449"/>
      <c r="AG139" s="449"/>
      <c r="AH139" s="449"/>
      <c r="AI139" s="449" t="e">
        <f>VLOOKUP(#REF!,U10対戦スケジュール!#REF!,3,TRUE)</f>
        <v>#REF!</v>
      </c>
      <c r="AJ139" s="449" t="e">
        <f>VLOOKUP(#REF!,U10対戦スケジュール!#REF!,3,TRUE)</f>
        <v>#REF!</v>
      </c>
      <c r="AK139" s="449" t="e">
        <f>VLOOKUP(#REF!,U10対戦スケジュール!#REF!,3,TRUE)</f>
        <v>#REF!</v>
      </c>
      <c r="AL139" s="449" t="e">
        <f>VLOOKUP(#REF!,U10対戦スケジュール!#REF!,3,TRUE)</f>
        <v>#REF!</v>
      </c>
      <c r="AM139" s="449" t="e">
        <f>VLOOKUP(#REF!,U10対戦スケジュール!#REF!,3,TRUE)</f>
        <v>#REF!</v>
      </c>
      <c r="AN139" s="449" t="e">
        <f>VLOOKUP(#REF!,U10対戦スケジュール!#REF!,3,TRUE)</f>
        <v>#REF!</v>
      </c>
      <c r="AO139" s="449" t="e">
        <f>VLOOKUP(#REF!,U10対戦スケジュール!#REF!,3,TRUE)</f>
        <v>#REF!</v>
      </c>
      <c r="AP139" s="449" t="e">
        <f>VLOOKUP(#REF!,U10対戦スケジュール!#REF!,3,TRUE)</f>
        <v>#REF!</v>
      </c>
      <c r="AR139" s="151"/>
      <c r="AS139" s="151"/>
    </row>
    <row r="140" spans="2:45" ht="20.100000000000001" customHeight="1" x14ac:dyDescent="0.4">
      <c r="B140" s="442" t="str">
        <f ca="1">DBCS(INDIRECT("U10対戦スケジュール!G"&amp;(ROW())/2-24))</f>
        <v>②</v>
      </c>
      <c r="C140" s="461">
        <f ca="1">VLOOKUP(B140,U10対戦スケジュール!G$45:L$48,2,TRUE)</f>
        <v>0.40279999999999999</v>
      </c>
      <c r="D140" s="462"/>
      <c r="E140" s="463"/>
      <c r="F140" s="449"/>
      <c r="G140" s="449"/>
      <c r="H140" s="449"/>
      <c r="I140" s="449"/>
      <c r="J140" s="467" t="str">
        <f ca="1">VLOOKUP(AR140,U10組合せ!$B$10:$I$17,5,TRUE)</f>
        <v>石井FC</v>
      </c>
      <c r="K140" s="468"/>
      <c r="L140" s="468"/>
      <c r="M140" s="468"/>
      <c r="N140" s="468"/>
      <c r="O140" s="468"/>
      <c r="P140" s="468"/>
      <c r="Q140" s="446">
        <f>IF(OR(S140="",S141=""),"",S140+S141)</f>
        <v>2</v>
      </c>
      <c r="R140" s="446"/>
      <c r="S140" s="136">
        <v>1</v>
      </c>
      <c r="T140" s="137" t="s">
        <v>8</v>
      </c>
      <c r="U140" s="136">
        <v>1</v>
      </c>
      <c r="V140" s="446">
        <f>IF(OR(U140="",U141=""),"",U140+U141)</f>
        <v>2</v>
      </c>
      <c r="W140" s="446"/>
      <c r="X140" s="467" t="str">
        <f ca="1">VLOOKUP(AS140,U10組合せ!$B$10:$I$17,5,TRUE)</f>
        <v>スポルト宇都宮U10</v>
      </c>
      <c r="Y140" s="468"/>
      <c r="Z140" s="468"/>
      <c r="AA140" s="468"/>
      <c r="AB140" s="468"/>
      <c r="AC140" s="468"/>
      <c r="AD140" s="468"/>
      <c r="AE140" s="449"/>
      <c r="AF140" s="449"/>
      <c r="AG140" s="449"/>
      <c r="AH140" s="449"/>
      <c r="AI140" s="446" t="str">
        <f ca="1">DBCS(VLOOKUP(B140,U10対戦スケジュール!G$45:L$48,6,TRUE))</f>
        <v>１／５／５／１</v>
      </c>
      <c r="AJ140" s="449" t="e">
        <f>VLOOKUP(#REF!,U10対戦スケジュール!#REF!,3,TRUE)</f>
        <v>#REF!</v>
      </c>
      <c r="AK140" s="449" t="e">
        <f>VLOOKUP(#REF!,U10対戦スケジュール!#REF!,3,TRUE)</f>
        <v>#REF!</v>
      </c>
      <c r="AL140" s="449" t="e">
        <f>VLOOKUP(#REF!,U10対戦スケジュール!#REF!,3,TRUE)</f>
        <v>#REF!</v>
      </c>
      <c r="AM140" s="449" t="e">
        <f>VLOOKUP(#REF!,U10対戦スケジュール!#REF!,3,TRUE)</f>
        <v>#REF!</v>
      </c>
      <c r="AN140" s="449" t="e">
        <f>VLOOKUP(#REF!,U10対戦スケジュール!#REF!,3,TRUE)</f>
        <v>#REF!</v>
      </c>
      <c r="AO140" s="449" t="e">
        <f>VLOOKUP(#REF!,U10対戦スケジュール!#REF!,3,TRUE)</f>
        <v>#REF!</v>
      </c>
      <c r="AP140" s="449" t="e">
        <f>VLOOKUP(#REF!,U10対戦スケジュール!#REF!,3,TRUE)</f>
        <v>#REF!</v>
      </c>
      <c r="AR140" s="151">
        <f ca="1">VLOOKUP(B140,U10対戦スケジュール!G$45:L$48,3,TRUE)</f>
        <v>3</v>
      </c>
      <c r="AS140" s="151">
        <f ca="1">VLOOKUP(B140,U10対戦スケジュール!G$45:L$48,5)</f>
        <v>6</v>
      </c>
    </row>
    <row r="141" spans="2:45" ht="20.100000000000001" customHeight="1" x14ac:dyDescent="0.4">
      <c r="B141" s="442"/>
      <c r="C141" s="464"/>
      <c r="D141" s="465"/>
      <c r="E141" s="466"/>
      <c r="F141" s="449"/>
      <c r="G141" s="449"/>
      <c r="H141" s="449"/>
      <c r="I141" s="449"/>
      <c r="J141" s="468"/>
      <c r="K141" s="468"/>
      <c r="L141" s="468"/>
      <c r="M141" s="468"/>
      <c r="N141" s="468"/>
      <c r="O141" s="468"/>
      <c r="P141" s="468"/>
      <c r="Q141" s="446"/>
      <c r="R141" s="446"/>
      <c r="S141" s="136">
        <v>1</v>
      </c>
      <c r="T141" s="137" t="s">
        <v>8</v>
      </c>
      <c r="U141" s="136">
        <v>1</v>
      </c>
      <c r="V141" s="446"/>
      <c r="W141" s="446"/>
      <c r="X141" s="468"/>
      <c r="Y141" s="468"/>
      <c r="Z141" s="468"/>
      <c r="AA141" s="468"/>
      <c r="AB141" s="468"/>
      <c r="AC141" s="468"/>
      <c r="AD141" s="468"/>
      <c r="AE141" s="449"/>
      <c r="AF141" s="449"/>
      <c r="AG141" s="449"/>
      <c r="AH141" s="449"/>
      <c r="AI141" s="449" t="e">
        <f>VLOOKUP(#REF!,U10対戦スケジュール!#REF!,3,TRUE)</f>
        <v>#REF!</v>
      </c>
      <c r="AJ141" s="449" t="e">
        <f>VLOOKUP(#REF!,U10対戦スケジュール!#REF!,3,TRUE)</f>
        <v>#REF!</v>
      </c>
      <c r="AK141" s="449" t="e">
        <f>VLOOKUP(#REF!,U10対戦スケジュール!#REF!,3,TRUE)</f>
        <v>#REF!</v>
      </c>
      <c r="AL141" s="449" t="e">
        <f>VLOOKUP(#REF!,U10対戦スケジュール!#REF!,3,TRUE)</f>
        <v>#REF!</v>
      </c>
      <c r="AM141" s="449" t="e">
        <f>VLOOKUP(#REF!,U10対戦スケジュール!#REF!,3,TRUE)</f>
        <v>#REF!</v>
      </c>
      <c r="AN141" s="449" t="e">
        <f>VLOOKUP(#REF!,U10対戦スケジュール!#REF!,3,TRUE)</f>
        <v>#REF!</v>
      </c>
      <c r="AO141" s="449" t="e">
        <f>VLOOKUP(#REF!,U10対戦スケジュール!#REF!,3,TRUE)</f>
        <v>#REF!</v>
      </c>
      <c r="AP141" s="449" t="e">
        <f>VLOOKUP(#REF!,U10対戦スケジュール!#REF!,3,TRUE)</f>
        <v>#REF!</v>
      </c>
    </row>
    <row r="142" spans="2:45" ht="20.100000000000001" customHeight="1" x14ac:dyDescent="0.4">
      <c r="B142" s="442" t="str">
        <f ca="1">DBCS(INDIRECT("U10対戦スケジュール!G"&amp;(ROW())/2-24))</f>
        <v>③</v>
      </c>
      <c r="C142" s="461">
        <f ca="1">VLOOKUP(B142,U10対戦スケジュール!G$45:L$48,2,TRUE)</f>
        <v>0.43779999999999997</v>
      </c>
      <c r="D142" s="462"/>
      <c r="E142" s="463"/>
      <c r="F142" s="449"/>
      <c r="G142" s="449"/>
      <c r="H142" s="449"/>
      <c r="I142" s="449"/>
      <c r="J142" s="467" t="str">
        <f ca="1">VLOOKUP(AR142,U10組合せ!$B$10:$I$17,5,TRUE)</f>
        <v>石井FC</v>
      </c>
      <c r="K142" s="468"/>
      <c r="L142" s="468"/>
      <c r="M142" s="468"/>
      <c r="N142" s="468"/>
      <c r="O142" s="468"/>
      <c r="P142" s="468"/>
      <c r="Q142" s="446">
        <f t="shared" ref="Q142" si="19">IF(OR(S142="",S143=""),"",S142+S143)</f>
        <v>10</v>
      </c>
      <c r="R142" s="446"/>
      <c r="S142" s="136">
        <v>5</v>
      </c>
      <c r="T142" s="137" t="s">
        <v>8</v>
      </c>
      <c r="U142" s="136">
        <v>0</v>
      </c>
      <c r="V142" s="446">
        <f t="shared" ref="V142" si="20">IF(OR(U142="",U143=""),"",U142+U143)</f>
        <v>0</v>
      </c>
      <c r="W142" s="446"/>
      <c r="X142" s="467" t="str">
        <f ca="1">VLOOKUP(AS142,U10組合せ!$B$10:$I$17,5,TRUE)</f>
        <v>SUGAO・SC</v>
      </c>
      <c r="Y142" s="468"/>
      <c r="Z142" s="468"/>
      <c r="AA142" s="468"/>
      <c r="AB142" s="468"/>
      <c r="AC142" s="468"/>
      <c r="AD142" s="468"/>
      <c r="AE142" s="449"/>
      <c r="AF142" s="449"/>
      <c r="AG142" s="449"/>
      <c r="AH142" s="449"/>
      <c r="AI142" s="446" t="str">
        <f ca="1">DBCS(VLOOKUP(B142,U10対戦スケジュール!G$45:L$48,6,TRUE))</f>
        <v>６／１／１／６</v>
      </c>
      <c r="AJ142" s="449" t="e">
        <f>VLOOKUP(#REF!,U10対戦スケジュール!#REF!,3,TRUE)</f>
        <v>#REF!</v>
      </c>
      <c r="AK142" s="449" t="e">
        <f>VLOOKUP(#REF!,U10対戦スケジュール!#REF!,3,TRUE)</f>
        <v>#REF!</v>
      </c>
      <c r="AL142" s="449" t="e">
        <f>VLOOKUP(#REF!,U10対戦スケジュール!#REF!,3,TRUE)</f>
        <v>#REF!</v>
      </c>
      <c r="AM142" s="449" t="e">
        <f>VLOOKUP(#REF!,U10対戦スケジュール!#REF!,3,TRUE)</f>
        <v>#REF!</v>
      </c>
      <c r="AN142" s="449" t="e">
        <f>VLOOKUP(#REF!,U10対戦スケジュール!#REF!,3,TRUE)</f>
        <v>#REF!</v>
      </c>
      <c r="AO142" s="449" t="e">
        <f>VLOOKUP(#REF!,U10対戦スケジュール!#REF!,3,TRUE)</f>
        <v>#REF!</v>
      </c>
      <c r="AP142" s="449" t="e">
        <f>VLOOKUP(#REF!,U10対戦スケジュール!#REF!,3,TRUE)</f>
        <v>#REF!</v>
      </c>
      <c r="AR142" s="151">
        <f ca="1">VLOOKUP(B142,U10対戦スケジュール!G$45:L$48,3,TRUE)</f>
        <v>3</v>
      </c>
      <c r="AS142" s="151">
        <f ca="1">VLOOKUP(B142,U10対戦スケジュール!G$45:L$48,5)</f>
        <v>5</v>
      </c>
    </row>
    <row r="143" spans="2:45" ht="20.100000000000001" customHeight="1" x14ac:dyDescent="0.4">
      <c r="B143" s="442"/>
      <c r="C143" s="464"/>
      <c r="D143" s="465"/>
      <c r="E143" s="466"/>
      <c r="F143" s="449"/>
      <c r="G143" s="449"/>
      <c r="H143" s="449"/>
      <c r="I143" s="449"/>
      <c r="J143" s="468"/>
      <c r="K143" s="468"/>
      <c r="L143" s="468"/>
      <c r="M143" s="468"/>
      <c r="N143" s="468"/>
      <c r="O143" s="468"/>
      <c r="P143" s="468"/>
      <c r="Q143" s="446"/>
      <c r="R143" s="446"/>
      <c r="S143" s="136">
        <v>5</v>
      </c>
      <c r="T143" s="137" t="s">
        <v>8</v>
      </c>
      <c r="U143" s="136">
        <v>0</v>
      </c>
      <c r="V143" s="446"/>
      <c r="W143" s="446"/>
      <c r="X143" s="468"/>
      <c r="Y143" s="468"/>
      <c r="Z143" s="468"/>
      <c r="AA143" s="468"/>
      <c r="AB143" s="468"/>
      <c r="AC143" s="468"/>
      <c r="AD143" s="468"/>
      <c r="AE143" s="449"/>
      <c r="AF143" s="449"/>
      <c r="AG143" s="449"/>
      <c r="AH143" s="449"/>
      <c r="AI143" s="449" t="e">
        <f>VLOOKUP(#REF!,U10対戦スケジュール!#REF!,3,TRUE)</f>
        <v>#REF!</v>
      </c>
      <c r="AJ143" s="449" t="e">
        <f>VLOOKUP(#REF!,U10対戦スケジュール!#REF!,3,TRUE)</f>
        <v>#REF!</v>
      </c>
      <c r="AK143" s="449" t="e">
        <f>VLOOKUP(#REF!,U10対戦スケジュール!#REF!,3,TRUE)</f>
        <v>#REF!</v>
      </c>
      <c r="AL143" s="449" t="e">
        <f>VLOOKUP(#REF!,U10対戦スケジュール!#REF!,3,TRUE)</f>
        <v>#REF!</v>
      </c>
      <c r="AM143" s="449" t="e">
        <f>VLOOKUP(#REF!,U10対戦スケジュール!#REF!,3,TRUE)</f>
        <v>#REF!</v>
      </c>
      <c r="AN143" s="449" t="e">
        <f>VLOOKUP(#REF!,U10対戦スケジュール!#REF!,3,TRUE)</f>
        <v>#REF!</v>
      </c>
      <c r="AO143" s="449" t="e">
        <f>VLOOKUP(#REF!,U10対戦スケジュール!#REF!,3,TRUE)</f>
        <v>#REF!</v>
      </c>
      <c r="AP143" s="449" t="e">
        <f>VLOOKUP(#REF!,U10対戦スケジュール!#REF!,3,TRUE)</f>
        <v>#REF!</v>
      </c>
      <c r="AR143" s="151"/>
      <c r="AS143" s="151"/>
    </row>
    <row r="144" spans="2:45" ht="20.100000000000001" customHeight="1" x14ac:dyDescent="0.4">
      <c r="B144" s="442" t="str">
        <f ca="1">DBCS(INDIRECT("U10対戦スケジュール!G"&amp;(ROW())/2-24))</f>
        <v>④</v>
      </c>
      <c r="C144" s="461">
        <f ca="1">VLOOKUP(B144,U10対戦スケジュール!G$45:L$48,2,TRUE)</f>
        <v>0.46559999999999996</v>
      </c>
      <c r="D144" s="462"/>
      <c r="E144" s="463"/>
      <c r="F144" s="449"/>
      <c r="G144" s="449"/>
      <c r="H144" s="449"/>
      <c r="I144" s="449"/>
      <c r="J144" s="467" t="str">
        <f ca="1">VLOOKUP(AR144,U10組合せ!$B$10:$I$17,5,TRUE)</f>
        <v>宝木キッカーズ</v>
      </c>
      <c r="K144" s="468"/>
      <c r="L144" s="468"/>
      <c r="M144" s="468"/>
      <c r="N144" s="468"/>
      <c r="O144" s="468"/>
      <c r="P144" s="468"/>
      <c r="Q144" s="446">
        <f t="shared" ref="Q144" si="21">IF(OR(S144="",S145=""),"",S144+S145)</f>
        <v>2</v>
      </c>
      <c r="R144" s="446"/>
      <c r="S144" s="136">
        <v>0</v>
      </c>
      <c r="T144" s="137" t="s">
        <v>8</v>
      </c>
      <c r="U144" s="136">
        <v>3</v>
      </c>
      <c r="V144" s="446">
        <f t="shared" ref="V144" si="22">IF(OR(U144="",U145=""),"",U144+U145)</f>
        <v>4</v>
      </c>
      <c r="W144" s="446"/>
      <c r="X144" s="467" t="str">
        <f ca="1">VLOOKUP(AS144,U10組合せ!$B$10:$I$17,5,TRUE)</f>
        <v>スポルト宇都宮U10</v>
      </c>
      <c r="Y144" s="468"/>
      <c r="Z144" s="468"/>
      <c r="AA144" s="468"/>
      <c r="AB144" s="468"/>
      <c r="AC144" s="468"/>
      <c r="AD144" s="468"/>
      <c r="AE144" s="449"/>
      <c r="AF144" s="449"/>
      <c r="AG144" s="449"/>
      <c r="AH144" s="449"/>
      <c r="AI144" s="446" t="str">
        <f ca="1">DBCS(VLOOKUP(B144,U10対戦スケジュール!G$45:L$48,6,TRUE))</f>
        <v>５／３／３／５</v>
      </c>
      <c r="AJ144" s="449" t="e">
        <f>VLOOKUP(#REF!,U10対戦スケジュール!#REF!,3,TRUE)</f>
        <v>#REF!</v>
      </c>
      <c r="AK144" s="449" t="e">
        <f>VLOOKUP(#REF!,U10対戦スケジュール!#REF!,3,TRUE)</f>
        <v>#REF!</v>
      </c>
      <c r="AL144" s="449" t="e">
        <f>VLOOKUP(#REF!,U10対戦スケジュール!#REF!,3,TRUE)</f>
        <v>#REF!</v>
      </c>
      <c r="AM144" s="449" t="e">
        <f>VLOOKUP(#REF!,U10対戦スケジュール!#REF!,3,TRUE)</f>
        <v>#REF!</v>
      </c>
      <c r="AN144" s="449" t="e">
        <f>VLOOKUP(#REF!,U10対戦スケジュール!#REF!,3,TRUE)</f>
        <v>#REF!</v>
      </c>
      <c r="AO144" s="449" t="e">
        <f>VLOOKUP(#REF!,U10対戦スケジュール!#REF!,3,TRUE)</f>
        <v>#REF!</v>
      </c>
      <c r="AP144" s="449" t="e">
        <f>VLOOKUP(#REF!,U10対戦スケジュール!#REF!,3,TRUE)</f>
        <v>#REF!</v>
      </c>
      <c r="AR144" s="151">
        <f ca="1">VLOOKUP(B144,U10対戦スケジュール!G$45:L$48,3,TRUE)</f>
        <v>1</v>
      </c>
      <c r="AS144" s="151">
        <f ca="1">VLOOKUP(B144,U10対戦スケジュール!G$45:L$48,5)</f>
        <v>6</v>
      </c>
    </row>
    <row r="145" spans="1:45" ht="20.100000000000001" customHeight="1" x14ac:dyDescent="0.4">
      <c r="B145" s="442"/>
      <c r="C145" s="464"/>
      <c r="D145" s="465"/>
      <c r="E145" s="466"/>
      <c r="F145" s="449"/>
      <c r="G145" s="449"/>
      <c r="H145" s="449"/>
      <c r="I145" s="449"/>
      <c r="J145" s="468"/>
      <c r="K145" s="468"/>
      <c r="L145" s="468"/>
      <c r="M145" s="468"/>
      <c r="N145" s="468"/>
      <c r="O145" s="468"/>
      <c r="P145" s="468"/>
      <c r="Q145" s="446"/>
      <c r="R145" s="446"/>
      <c r="S145" s="136">
        <v>2</v>
      </c>
      <c r="T145" s="137" t="s">
        <v>8</v>
      </c>
      <c r="U145" s="136">
        <v>1</v>
      </c>
      <c r="V145" s="446"/>
      <c r="W145" s="446"/>
      <c r="X145" s="468"/>
      <c r="Y145" s="468"/>
      <c r="Z145" s="468"/>
      <c r="AA145" s="468"/>
      <c r="AB145" s="468"/>
      <c r="AC145" s="468"/>
      <c r="AD145" s="468"/>
      <c r="AE145" s="449"/>
      <c r="AF145" s="449"/>
      <c r="AG145" s="449"/>
      <c r="AH145" s="449"/>
      <c r="AI145" s="449" t="e">
        <f>VLOOKUP(#REF!,U10対戦スケジュール!#REF!,3,TRUE)</f>
        <v>#REF!</v>
      </c>
      <c r="AJ145" s="449" t="e">
        <f>VLOOKUP(#REF!,U10対戦スケジュール!#REF!,3,TRUE)</f>
        <v>#REF!</v>
      </c>
      <c r="AK145" s="449" t="e">
        <f>VLOOKUP(#REF!,U10対戦スケジュール!#REF!,3,TRUE)</f>
        <v>#REF!</v>
      </c>
      <c r="AL145" s="449" t="e">
        <f>VLOOKUP(#REF!,U10対戦スケジュール!#REF!,3,TRUE)</f>
        <v>#REF!</v>
      </c>
      <c r="AM145" s="449" t="e">
        <f>VLOOKUP(#REF!,U10対戦スケジュール!#REF!,3,TRUE)</f>
        <v>#REF!</v>
      </c>
      <c r="AN145" s="449" t="e">
        <f>VLOOKUP(#REF!,U10対戦スケジュール!#REF!,3,TRUE)</f>
        <v>#REF!</v>
      </c>
      <c r="AO145" s="449" t="e">
        <f>VLOOKUP(#REF!,U10対戦スケジュール!#REF!,3,TRUE)</f>
        <v>#REF!</v>
      </c>
      <c r="AP145" s="449" t="e">
        <f>VLOOKUP(#REF!,U10対戦スケジュール!#REF!,3,TRUE)</f>
        <v>#REF!</v>
      </c>
      <c r="AR145" s="151"/>
      <c r="AS145" s="151"/>
    </row>
    <row r="146" spans="1:45" ht="20.100000000000001" customHeight="1" x14ac:dyDescent="0.4">
      <c r="B146" s="442"/>
      <c r="C146" s="450"/>
      <c r="D146" s="450"/>
      <c r="E146" s="450"/>
      <c r="F146" s="449"/>
      <c r="G146" s="449"/>
      <c r="H146" s="449"/>
      <c r="I146" s="449"/>
      <c r="J146" s="447"/>
      <c r="K146" s="448"/>
      <c r="L146" s="448"/>
      <c r="M146" s="448"/>
      <c r="N146" s="448"/>
      <c r="O146" s="448"/>
      <c r="P146" s="448"/>
      <c r="Q146" s="446"/>
      <c r="R146" s="446"/>
      <c r="S146" s="136"/>
      <c r="T146" s="137"/>
      <c r="U146" s="136"/>
      <c r="V146" s="446"/>
      <c r="W146" s="446"/>
      <c r="X146" s="447"/>
      <c r="Y146" s="448"/>
      <c r="Z146" s="448"/>
      <c r="AA146" s="448"/>
      <c r="AB146" s="448"/>
      <c r="AC146" s="448"/>
      <c r="AD146" s="448"/>
      <c r="AE146" s="449"/>
      <c r="AF146" s="449"/>
      <c r="AG146" s="449"/>
      <c r="AH146" s="449"/>
      <c r="AI146" s="446"/>
      <c r="AJ146" s="449"/>
      <c r="AK146" s="449"/>
      <c r="AL146" s="449"/>
      <c r="AM146" s="449"/>
      <c r="AN146" s="449"/>
      <c r="AO146" s="449"/>
      <c r="AP146" s="449"/>
      <c r="AR146" s="151"/>
      <c r="AS146" s="151"/>
    </row>
    <row r="147" spans="1:45" ht="20.100000000000001" customHeight="1" x14ac:dyDescent="0.4">
      <c r="B147" s="442"/>
      <c r="C147" s="450"/>
      <c r="D147" s="450"/>
      <c r="E147" s="450"/>
      <c r="F147" s="449"/>
      <c r="G147" s="449"/>
      <c r="H147" s="449"/>
      <c r="I147" s="449"/>
      <c r="J147" s="448"/>
      <c r="K147" s="448"/>
      <c r="L147" s="448"/>
      <c r="M147" s="448"/>
      <c r="N147" s="448"/>
      <c r="O147" s="448"/>
      <c r="P147" s="448"/>
      <c r="Q147" s="446"/>
      <c r="R147" s="446"/>
      <c r="S147" s="136"/>
      <c r="T147" s="137"/>
      <c r="U147" s="136"/>
      <c r="V147" s="446"/>
      <c r="W147" s="446"/>
      <c r="X147" s="448"/>
      <c r="Y147" s="448"/>
      <c r="Z147" s="448"/>
      <c r="AA147" s="448"/>
      <c r="AB147" s="448"/>
      <c r="AC147" s="448"/>
      <c r="AD147" s="448"/>
      <c r="AE147" s="449"/>
      <c r="AF147" s="449"/>
      <c r="AG147" s="449"/>
      <c r="AH147" s="449"/>
      <c r="AI147" s="449"/>
      <c r="AJ147" s="449"/>
      <c r="AK147" s="449"/>
      <c r="AL147" s="449"/>
      <c r="AM147" s="449"/>
      <c r="AN147" s="449"/>
      <c r="AO147" s="449"/>
      <c r="AP147" s="449"/>
      <c r="AR147" s="151"/>
      <c r="AS147" s="151"/>
    </row>
    <row r="148" spans="1:45" ht="20.100000000000001" customHeight="1" x14ac:dyDescent="0.4">
      <c r="B148" s="442"/>
      <c r="C148" s="450"/>
      <c r="D148" s="450"/>
      <c r="E148" s="450"/>
      <c r="F148" s="449"/>
      <c r="G148" s="449"/>
      <c r="H148" s="449"/>
      <c r="I148" s="449"/>
      <c r="J148" s="447"/>
      <c r="K148" s="448"/>
      <c r="L148" s="448"/>
      <c r="M148" s="448"/>
      <c r="N148" s="448"/>
      <c r="O148" s="448"/>
      <c r="P148" s="448"/>
      <c r="Q148" s="446"/>
      <c r="R148" s="446"/>
      <c r="S148" s="136"/>
      <c r="T148" s="137"/>
      <c r="U148" s="136"/>
      <c r="V148" s="446"/>
      <c r="W148" s="446"/>
      <c r="X148" s="447"/>
      <c r="Y148" s="448"/>
      <c r="Z148" s="448"/>
      <c r="AA148" s="448"/>
      <c r="AB148" s="448"/>
      <c r="AC148" s="448"/>
      <c r="AD148" s="448"/>
      <c r="AE148" s="449"/>
      <c r="AF148" s="449"/>
      <c r="AG148" s="449"/>
      <c r="AH148" s="449"/>
      <c r="AI148" s="446"/>
      <c r="AJ148" s="449"/>
      <c r="AK148" s="449"/>
      <c r="AL148" s="449"/>
      <c r="AM148" s="449"/>
      <c r="AN148" s="449"/>
      <c r="AO148" s="449"/>
      <c r="AP148" s="449"/>
      <c r="AR148" s="151"/>
      <c r="AS148" s="151"/>
    </row>
    <row r="149" spans="1:45" ht="20.100000000000001" customHeight="1" x14ac:dyDescent="0.4">
      <c r="B149" s="442"/>
      <c r="C149" s="450"/>
      <c r="D149" s="450"/>
      <c r="E149" s="450"/>
      <c r="F149" s="449"/>
      <c r="G149" s="449"/>
      <c r="H149" s="449"/>
      <c r="I149" s="449"/>
      <c r="J149" s="448"/>
      <c r="K149" s="448"/>
      <c r="L149" s="448"/>
      <c r="M149" s="448"/>
      <c r="N149" s="448"/>
      <c r="O149" s="448"/>
      <c r="P149" s="448"/>
      <c r="Q149" s="446"/>
      <c r="R149" s="446"/>
      <c r="S149" s="136"/>
      <c r="T149" s="137"/>
      <c r="U149" s="136"/>
      <c r="V149" s="446"/>
      <c r="W149" s="446"/>
      <c r="X149" s="448"/>
      <c r="Y149" s="448"/>
      <c r="Z149" s="448"/>
      <c r="AA149" s="448"/>
      <c r="AB149" s="448"/>
      <c r="AC149" s="448"/>
      <c r="AD149" s="448"/>
      <c r="AE149" s="449"/>
      <c r="AF149" s="449"/>
      <c r="AG149" s="449"/>
      <c r="AH149" s="449"/>
      <c r="AI149" s="449"/>
      <c r="AJ149" s="449"/>
      <c r="AK149" s="449"/>
      <c r="AL149" s="449"/>
      <c r="AM149" s="449"/>
      <c r="AN149" s="449"/>
      <c r="AO149" s="449"/>
      <c r="AP149" s="449"/>
      <c r="AR149" s="151"/>
      <c r="AS149" s="151"/>
    </row>
    <row r="150" spans="1:45" ht="20.100000000000001" customHeight="1" x14ac:dyDescent="0.4">
      <c r="B150" s="442"/>
      <c r="C150" s="450"/>
      <c r="D150" s="450"/>
      <c r="E150" s="450"/>
      <c r="F150" s="449"/>
      <c r="G150" s="449"/>
      <c r="H150" s="449"/>
      <c r="I150" s="449"/>
      <c r="J150" s="447"/>
      <c r="K150" s="448"/>
      <c r="L150" s="448"/>
      <c r="M150" s="448"/>
      <c r="N150" s="448"/>
      <c r="O150" s="448"/>
      <c r="P150" s="448"/>
      <c r="Q150" s="446"/>
      <c r="R150" s="446"/>
      <c r="S150" s="136"/>
      <c r="T150" s="137"/>
      <c r="U150" s="136"/>
      <c r="V150" s="446"/>
      <c r="W150" s="446"/>
      <c r="X150" s="447"/>
      <c r="Y150" s="448"/>
      <c r="Z150" s="448"/>
      <c r="AA150" s="448"/>
      <c r="AB150" s="448"/>
      <c r="AC150" s="448"/>
      <c r="AD150" s="448"/>
      <c r="AE150" s="449"/>
      <c r="AF150" s="449"/>
      <c r="AG150" s="449"/>
      <c r="AH150" s="449"/>
      <c r="AI150" s="446"/>
      <c r="AJ150" s="449"/>
      <c r="AK150" s="449"/>
      <c r="AL150" s="449"/>
      <c r="AM150" s="449"/>
      <c r="AN150" s="449"/>
      <c r="AO150" s="449"/>
      <c r="AP150" s="449"/>
      <c r="AR150" s="151"/>
      <c r="AS150" s="151"/>
    </row>
    <row r="151" spans="1:45" ht="20.100000000000001" customHeight="1" x14ac:dyDescent="0.4">
      <c r="B151" s="442"/>
      <c r="C151" s="450"/>
      <c r="D151" s="450"/>
      <c r="E151" s="450"/>
      <c r="F151" s="449"/>
      <c r="G151" s="449"/>
      <c r="H151" s="449"/>
      <c r="I151" s="449"/>
      <c r="J151" s="448"/>
      <c r="K151" s="448"/>
      <c r="L151" s="448"/>
      <c r="M151" s="448"/>
      <c r="N151" s="448"/>
      <c r="O151" s="448"/>
      <c r="P151" s="448"/>
      <c r="Q151" s="446"/>
      <c r="R151" s="446"/>
      <c r="S151" s="136"/>
      <c r="T151" s="137"/>
      <c r="U151" s="136"/>
      <c r="V151" s="446"/>
      <c r="W151" s="446"/>
      <c r="X151" s="448"/>
      <c r="Y151" s="448"/>
      <c r="Z151" s="448"/>
      <c r="AA151" s="448"/>
      <c r="AB151" s="448"/>
      <c r="AC151" s="448"/>
      <c r="AD151" s="448"/>
      <c r="AE151" s="449"/>
      <c r="AF151" s="449"/>
      <c r="AG151" s="449"/>
      <c r="AH151" s="449"/>
      <c r="AI151" s="449"/>
      <c r="AJ151" s="449"/>
      <c r="AK151" s="449"/>
      <c r="AL151" s="449"/>
      <c r="AM151" s="449"/>
      <c r="AN151" s="449"/>
      <c r="AO151" s="449"/>
      <c r="AP151" s="449"/>
    </row>
    <row r="152" spans="1:45" ht="15.75" customHeight="1" x14ac:dyDescent="0.4">
      <c r="A152" s="138"/>
      <c r="B152" s="139"/>
      <c r="C152" s="140"/>
      <c r="D152" s="140"/>
      <c r="E152" s="140"/>
      <c r="F152" s="139"/>
      <c r="G152" s="139"/>
      <c r="H152" s="139"/>
      <c r="I152" s="139"/>
      <c r="J152" s="139"/>
      <c r="K152" s="141"/>
      <c r="L152" s="141"/>
      <c r="M152" s="142"/>
      <c r="N152" s="143"/>
      <c r="O152" s="142"/>
      <c r="P152" s="141"/>
      <c r="Q152" s="141"/>
      <c r="R152" s="139"/>
      <c r="S152" s="139"/>
      <c r="T152" s="139"/>
      <c r="U152" s="139"/>
      <c r="V152" s="139"/>
      <c r="W152" s="144"/>
      <c r="X152" s="144"/>
      <c r="Y152" s="144"/>
      <c r="Z152" s="144"/>
      <c r="AA152" s="144"/>
      <c r="AB152" s="144"/>
      <c r="AC152" s="138"/>
    </row>
    <row r="153" spans="1:45" ht="20.25" customHeight="1" x14ac:dyDescent="0.4">
      <c r="D153" s="442" t="s">
        <v>9</v>
      </c>
      <c r="E153" s="442"/>
      <c r="F153" s="442"/>
      <c r="G153" s="442"/>
      <c r="H153" s="442"/>
      <c r="I153" s="442"/>
      <c r="J153" s="442" t="s">
        <v>5</v>
      </c>
      <c r="K153" s="442"/>
      <c r="L153" s="442"/>
      <c r="M153" s="442"/>
      <c r="N153" s="442"/>
      <c r="O153" s="442"/>
      <c r="P153" s="442"/>
      <c r="Q153" s="442"/>
      <c r="R153" s="443" t="s">
        <v>10</v>
      </c>
      <c r="S153" s="443"/>
      <c r="T153" s="443"/>
      <c r="U153" s="443"/>
      <c r="V153" s="443"/>
      <c r="W153" s="443"/>
      <c r="X153" s="443"/>
      <c r="Y153" s="443"/>
      <c r="Z153" s="443"/>
      <c r="AA153" s="444" t="s">
        <v>11</v>
      </c>
      <c r="AB153" s="444"/>
      <c r="AC153" s="444"/>
      <c r="AD153" s="444" t="s">
        <v>12</v>
      </c>
      <c r="AE153" s="444"/>
      <c r="AF153" s="444"/>
      <c r="AG153" s="444"/>
      <c r="AH153" s="444"/>
      <c r="AI153" s="444"/>
      <c r="AJ153" s="444"/>
      <c r="AK153" s="444"/>
      <c r="AL153" s="444"/>
      <c r="AM153" s="444"/>
    </row>
    <row r="154" spans="1:45" ht="30" customHeight="1" x14ac:dyDescent="0.4">
      <c r="D154" s="442" t="s">
        <v>13</v>
      </c>
      <c r="E154" s="442"/>
      <c r="F154" s="442"/>
      <c r="G154" s="442"/>
      <c r="H154" s="442"/>
      <c r="I154" s="442"/>
      <c r="J154" s="442"/>
      <c r="K154" s="442"/>
      <c r="L154" s="442"/>
      <c r="M154" s="442"/>
      <c r="N154" s="442"/>
      <c r="O154" s="442"/>
      <c r="P154" s="442"/>
      <c r="Q154" s="442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5"/>
      <c r="AB154" s="445"/>
      <c r="AC154" s="445"/>
      <c r="AD154" s="441"/>
      <c r="AE154" s="441"/>
      <c r="AF154" s="441"/>
      <c r="AG154" s="441"/>
      <c r="AH154" s="441"/>
      <c r="AI154" s="441"/>
      <c r="AJ154" s="441"/>
      <c r="AK154" s="441"/>
      <c r="AL154" s="441"/>
      <c r="AM154" s="441"/>
    </row>
    <row r="155" spans="1:45" ht="30" customHeight="1" x14ac:dyDescent="0.4">
      <c r="D155" s="442" t="s">
        <v>13</v>
      </c>
      <c r="E155" s="442"/>
      <c r="F155" s="442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4"/>
      <c r="AB155" s="444"/>
      <c r="AC155" s="444"/>
      <c r="AD155" s="441"/>
      <c r="AE155" s="441"/>
      <c r="AF155" s="441"/>
      <c r="AG155" s="441"/>
      <c r="AH155" s="441"/>
      <c r="AI155" s="441"/>
      <c r="AJ155" s="441"/>
      <c r="AK155" s="441"/>
      <c r="AL155" s="441"/>
      <c r="AM155" s="441"/>
    </row>
    <row r="156" spans="1:45" ht="30" customHeight="1" x14ac:dyDescent="0.4">
      <c r="D156" s="442" t="s">
        <v>13</v>
      </c>
      <c r="E156" s="442"/>
      <c r="F156" s="442"/>
      <c r="G156" s="442"/>
      <c r="H156" s="442"/>
      <c r="I156" s="442"/>
      <c r="J156" s="442"/>
      <c r="K156" s="442"/>
      <c r="L156" s="442"/>
      <c r="M156" s="442"/>
      <c r="N156" s="442"/>
      <c r="O156" s="442"/>
      <c r="P156" s="442"/>
      <c r="Q156" s="442"/>
      <c r="R156" s="443"/>
      <c r="S156" s="443"/>
      <c r="T156" s="443"/>
      <c r="U156" s="443"/>
      <c r="V156" s="443"/>
      <c r="W156" s="443"/>
      <c r="X156" s="443"/>
      <c r="Y156" s="443"/>
      <c r="Z156" s="443"/>
      <c r="AA156" s="444"/>
      <c r="AB156" s="444"/>
      <c r="AC156" s="444"/>
      <c r="AD156" s="441"/>
      <c r="AE156" s="441"/>
      <c r="AF156" s="441"/>
      <c r="AG156" s="441"/>
      <c r="AH156" s="441"/>
      <c r="AI156" s="441"/>
      <c r="AJ156" s="441"/>
      <c r="AK156" s="441"/>
      <c r="AL156" s="441"/>
      <c r="AM156" s="441"/>
    </row>
    <row r="157" spans="1:45" ht="30" customHeight="1" x14ac:dyDescent="0.4">
      <c r="D157" s="442" t="s">
        <v>13</v>
      </c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4"/>
      <c r="AB157" s="444"/>
      <c r="AC157" s="444"/>
      <c r="AD157" s="441"/>
      <c r="AE157" s="441"/>
      <c r="AF157" s="441"/>
      <c r="AG157" s="441"/>
      <c r="AH157" s="441"/>
      <c r="AI157" s="441"/>
      <c r="AJ157" s="441"/>
      <c r="AK157" s="441"/>
      <c r="AL157" s="441"/>
      <c r="AM157" s="441"/>
    </row>
    <row r="159" spans="1:45" ht="14.25" customHeight="1" x14ac:dyDescent="0.4">
      <c r="A159" s="274"/>
      <c r="B159" s="489" t="str">
        <f>U10組合せ!$B$1</f>
        <v>ＪＦＡ　Ｕ-１０サッカーリーグ2021（in栃木） 宇都宮地区リーグ戦（前期）</v>
      </c>
      <c r="C159" s="489"/>
      <c r="D159" s="489"/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90" t="str">
        <f>"【"&amp;(U10組合せ!$F$3)&amp;"】"</f>
        <v>【Ｂ ブロック】</v>
      </c>
      <c r="AD159" s="490"/>
      <c r="AE159" s="490"/>
      <c r="AF159" s="490"/>
      <c r="AG159" s="490"/>
      <c r="AH159" s="490"/>
      <c r="AI159" s="490"/>
      <c r="AJ159" s="490"/>
      <c r="AK159" s="490" t="str">
        <f>"第"&amp;(U10組合せ!$F$31)</f>
        <v>第３節</v>
      </c>
      <c r="AL159" s="490"/>
      <c r="AM159" s="490"/>
      <c r="AN159" s="490"/>
      <c r="AO159" s="490"/>
      <c r="AP159" s="491" t="s">
        <v>196</v>
      </c>
      <c r="AQ159" s="492"/>
    </row>
    <row r="160" spans="1:45" ht="22.5" customHeight="1" x14ac:dyDescent="0.4">
      <c r="A160" s="274"/>
      <c r="B160" s="489"/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90"/>
      <c r="AD160" s="490"/>
      <c r="AE160" s="490"/>
      <c r="AF160" s="490"/>
      <c r="AG160" s="490"/>
      <c r="AH160" s="490"/>
      <c r="AI160" s="490"/>
      <c r="AJ160" s="490"/>
      <c r="AK160" s="490"/>
      <c r="AL160" s="490"/>
      <c r="AM160" s="490"/>
      <c r="AN160" s="490"/>
      <c r="AO160" s="490"/>
      <c r="AP160" s="492"/>
      <c r="AQ160" s="492"/>
    </row>
    <row r="161" spans="2:45" ht="27.75" customHeight="1" x14ac:dyDescent="0.4">
      <c r="C161" s="477" t="s">
        <v>1</v>
      </c>
      <c r="D161" s="477"/>
      <c r="E161" s="477"/>
      <c r="F161" s="477"/>
      <c r="G161" s="478" t="str">
        <f>U10組合せ!G33</f>
        <v>石井 3 AM</v>
      </c>
      <c r="H161" s="479"/>
      <c r="I161" s="479"/>
      <c r="J161" s="479"/>
      <c r="K161" s="479"/>
      <c r="L161" s="479"/>
      <c r="M161" s="479"/>
      <c r="N161" s="479"/>
      <c r="O161" s="480"/>
      <c r="P161" s="477" t="s">
        <v>0</v>
      </c>
      <c r="Q161" s="477"/>
      <c r="R161" s="477"/>
      <c r="S161" s="477"/>
      <c r="T161" s="481" t="str">
        <f ca="1">J172</f>
        <v>栃木SC　U-10</v>
      </c>
      <c r="U161" s="481"/>
      <c r="V161" s="481"/>
      <c r="W161" s="481"/>
      <c r="X161" s="481"/>
      <c r="Y161" s="481"/>
      <c r="Z161" s="481"/>
      <c r="AA161" s="481"/>
      <c r="AB161" s="481"/>
      <c r="AC161" s="477" t="s">
        <v>2</v>
      </c>
      <c r="AD161" s="477"/>
      <c r="AE161" s="477"/>
      <c r="AF161" s="477"/>
      <c r="AG161" s="482">
        <f>U10組合せ!B$31</f>
        <v>44325</v>
      </c>
      <c r="AH161" s="483"/>
      <c r="AI161" s="483"/>
      <c r="AJ161" s="483"/>
      <c r="AK161" s="483"/>
      <c r="AL161" s="483"/>
      <c r="AM161" s="484" t="str">
        <f>"（"&amp;TEXT(AG161,"aaa")&amp;"）"</f>
        <v>（日）</v>
      </c>
      <c r="AN161" s="484"/>
      <c r="AO161" s="485"/>
    </row>
    <row r="162" spans="2:45" ht="15" customHeight="1" x14ac:dyDescent="0.4">
      <c r="C162" s="134" t="str">
        <f>U10組合せ!G34</f>
        <v>B247</v>
      </c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3"/>
      <c r="X162" s="133"/>
      <c r="Y162" s="133"/>
      <c r="Z162" s="133"/>
      <c r="AA162" s="133"/>
      <c r="AB162" s="133"/>
      <c r="AC162" s="133"/>
    </row>
    <row r="163" spans="2:45" s="155" customFormat="1" ht="29.25" customHeight="1" x14ac:dyDescent="0.4">
      <c r="B163" s="134"/>
      <c r="C163" s="486">
        <v>1</v>
      </c>
      <c r="D163" s="486"/>
      <c r="E163" s="487" t="str">
        <f>VLOOKUP(C163,U10組合せ!$B$10:$I$17,5,TRUE)</f>
        <v>宝木キッカーズ</v>
      </c>
      <c r="F163" s="487"/>
      <c r="G163" s="487"/>
      <c r="H163" s="487"/>
      <c r="I163" s="487"/>
      <c r="J163" s="487"/>
      <c r="K163" s="487"/>
      <c r="L163" s="487"/>
      <c r="M163" s="487"/>
      <c r="N163" s="487"/>
      <c r="O163" s="148"/>
      <c r="P163" s="148"/>
      <c r="Q163" s="481">
        <v>4</v>
      </c>
      <c r="R163" s="481"/>
      <c r="S163" s="488" t="str">
        <f>VLOOKUP(Q163,U10組合せ!$B$10:$I$17,5,TRUE)</f>
        <v>FCアネーロ・U-10</v>
      </c>
      <c r="T163" s="488"/>
      <c r="U163" s="488"/>
      <c r="V163" s="488"/>
      <c r="W163" s="488"/>
      <c r="X163" s="488"/>
      <c r="Y163" s="488"/>
      <c r="Z163" s="488"/>
      <c r="AA163" s="488"/>
      <c r="AB163" s="488"/>
      <c r="AC163" s="131"/>
      <c r="AD163" s="132"/>
      <c r="AE163" s="481">
        <v>7</v>
      </c>
      <c r="AF163" s="481"/>
      <c r="AG163" s="488" t="str">
        <f>VLOOKUP(AE163,U10組合せ!$B$10:$I$17,5,TRUE)</f>
        <v>FCアリーバ</v>
      </c>
      <c r="AH163" s="488"/>
      <c r="AI163" s="488"/>
      <c r="AJ163" s="488"/>
      <c r="AK163" s="488"/>
      <c r="AL163" s="488"/>
      <c r="AM163" s="488"/>
      <c r="AN163" s="488"/>
      <c r="AO163" s="488"/>
      <c r="AP163" s="488"/>
      <c r="AR163" s="155">
        <f>170/2</f>
        <v>85</v>
      </c>
    </row>
    <row r="164" spans="2:45" s="155" customFormat="1" ht="29.25" customHeight="1" x14ac:dyDescent="0.4">
      <c r="C164" s="481">
        <v>2</v>
      </c>
      <c r="D164" s="481"/>
      <c r="E164" s="488" t="str">
        <f>VLOOKUP(C164,U10組合せ!$B$10:$I$17,5,TRUE)</f>
        <v>栃木SC　U-10</v>
      </c>
      <c r="F164" s="488"/>
      <c r="G164" s="488"/>
      <c r="H164" s="488"/>
      <c r="I164" s="488"/>
      <c r="J164" s="488"/>
      <c r="K164" s="488"/>
      <c r="L164" s="488"/>
      <c r="M164" s="488"/>
      <c r="N164" s="488"/>
      <c r="O164" s="148"/>
      <c r="P164" s="148"/>
      <c r="Q164" s="486">
        <v>5</v>
      </c>
      <c r="R164" s="486"/>
      <c r="S164" s="487" t="str">
        <f>VLOOKUP(Q164,U10組合せ!$B$10:$I$17,5,TRUE)</f>
        <v>SUGAO・SC</v>
      </c>
      <c r="T164" s="487"/>
      <c r="U164" s="487"/>
      <c r="V164" s="487"/>
      <c r="W164" s="487"/>
      <c r="X164" s="487"/>
      <c r="Y164" s="487"/>
      <c r="Z164" s="487"/>
      <c r="AA164" s="487"/>
      <c r="AB164" s="487"/>
      <c r="AC164" s="131"/>
      <c r="AD164" s="132"/>
      <c r="AE164" s="486">
        <v>8</v>
      </c>
      <c r="AF164" s="486"/>
      <c r="AG164" s="487"/>
      <c r="AH164" s="487"/>
      <c r="AI164" s="487"/>
      <c r="AJ164" s="487"/>
      <c r="AK164" s="487"/>
      <c r="AL164" s="487"/>
      <c r="AM164" s="487"/>
      <c r="AN164" s="487"/>
      <c r="AO164" s="487"/>
      <c r="AP164" s="487"/>
      <c r="AR164" s="155">
        <v>53</v>
      </c>
    </row>
    <row r="165" spans="2:45" s="155" customFormat="1" ht="29.25" customHeight="1" x14ac:dyDescent="0.4">
      <c r="C165" s="486">
        <v>3</v>
      </c>
      <c r="D165" s="486"/>
      <c r="E165" s="487" t="str">
        <f>VLOOKUP(C165,U10組合せ!$B$10:$I$17,5,TRUE)</f>
        <v>石井FC</v>
      </c>
      <c r="F165" s="487"/>
      <c r="G165" s="487"/>
      <c r="H165" s="487"/>
      <c r="I165" s="487"/>
      <c r="J165" s="487"/>
      <c r="K165" s="487"/>
      <c r="L165" s="487"/>
      <c r="M165" s="487"/>
      <c r="N165" s="487"/>
      <c r="O165" s="148"/>
      <c r="P165" s="148"/>
      <c r="Q165" s="486">
        <v>6</v>
      </c>
      <c r="R165" s="486"/>
      <c r="S165" s="487" t="str">
        <f>VLOOKUP(Q165,U10組合せ!$B$10:$I$17,5,TRUE)</f>
        <v>スポルト宇都宮U10</v>
      </c>
      <c r="T165" s="487"/>
      <c r="U165" s="487"/>
      <c r="V165" s="487"/>
      <c r="W165" s="487"/>
      <c r="X165" s="487"/>
      <c r="Y165" s="487"/>
      <c r="Z165" s="487"/>
      <c r="AA165" s="487"/>
      <c r="AB165" s="487"/>
      <c r="AC165" s="131"/>
      <c r="AD165" s="132"/>
      <c r="AE165" s="486">
        <v>9</v>
      </c>
      <c r="AF165" s="486"/>
      <c r="AG165" s="487"/>
      <c r="AH165" s="487"/>
      <c r="AI165" s="487"/>
      <c r="AJ165" s="487"/>
      <c r="AK165" s="487"/>
      <c r="AL165" s="487"/>
      <c r="AM165" s="487"/>
      <c r="AN165" s="487"/>
      <c r="AO165" s="487"/>
      <c r="AP165" s="487"/>
      <c r="AR165" s="155">
        <f>AR163-AR164</f>
        <v>32</v>
      </c>
    </row>
    <row r="166" spans="2:45" ht="8.25" customHeight="1" x14ac:dyDescent="0.4">
      <c r="O166" s="138"/>
      <c r="P166" s="138"/>
      <c r="AC166" s="133"/>
    </row>
    <row r="167" spans="2:45" ht="8.25" customHeight="1" x14ac:dyDescent="0.4">
      <c r="C167" s="149"/>
      <c r="D167" s="150"/>
      <c r="E167" s="150"/>
      <c r="F167" s="150"/>
      <c r="G167" s="150"/>
      <c r="H167" s="150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50"/>
      <c r="U167" s="138"/>
      <c r="V167" s="150"/>
      <c r="W167" s="138"/>
      <c r="X167" s="150"/>
      <c r="Y167" s="138"/>
      <c r="Z167" s="150"/>
      <c r="AA167" s="138"/>
      <c r="AB167" s="150"/>
      <c r="AC167" s="150"/>
    </row>
    <row r="168" spans="2:45" ht="21" customHeight="1" x14ac:dyDescent="0.4">
      <c r="B168" s="134" t="s">
        <v>181</v>
      </c>
    </row>
    <row r="169" spans="2:45" ht="20.25" customHeight="1" x14ac:dyDescent="0.4">
      <c r="B169" s="135"/>
      <c r="C169" s="469" t="s">
        <v>3</v>
      </c>
      <c r="D169" s="469"/>
      <c r="E169" s="469"/>
      <c r="F169" s="470" t="s">
        <v>4</v>
      </c>
      <c r="G169" s="470"/>
      <c r="H169" s="470"/>
      <c r="I169" s="470"/>
      <c r="J169" s="469" t="s">
        <v>5</v>
      </c>
      <c r="K169" s="471"/>
      <c r="L169" s="471"/>
      <c r="M169" s="471"/>
      <c r="N169" s="471"/>
      <c r="O169" s="471"/>
      <c r="P169" s="471"/>
      <c r="Q169" s="469" t="s">
        <v>40</v>
      </c>
      <c r="R169" s="469"/>
      <c r="S169" s="469"/>
      <c r="T169" s="469"/>
      <c r="U169" s="469"/>
      <c r="V169" s="469"/>
      <c r="W169" s="469"/>
      <c r="X169" s="469" t="s">
        <v>5</v>
      </c>
      <c r="Y169" s="471"/>
      <c r="Z169" s="471"/>
      <c r="AA169" s="471"/>
      <c r="AB169" s="471"/>
      <c r="AC169" s="471"/>
      <c r="AD169" s="471"/>
      <c r="AE169" s="470" t="s">
        <v>4</v>
      </c>
      <c r="AF169" s="470"/>
      <c r="AG169" s="470"/>
      <c r="AH169" s="470"/>
      <c r="AI169" s="469" t="s">
        <v>7</v>
      </c>
      <c r="AJ169" s="469"/>
      <c r="AK169" s="471"/>
      <c r="AL169" s="471"/>
      <c r="AM169" s="471"/>
      <c r="AN169" s="471"/>
      <c r="AO169" s="471"/>
      <c r="AP169" s="471"/>
    </row>
    <row r="170" spans="2:45" ht="20.100000000000001" customHeight="1" x14ac:dyDescent="0.4">
      <c r="B170" s="442" t="str">
        <f ca="1">DBCS(INDIRECT("U10対戦スケジュール!G"&amp;(ROW())/2-32))</f>
        <v>①</v>
      </c>
      <c r="C170" s="461">
        <f ca="1">VLOOKUP(B170,U10対戦スケジュール!G$53:L$55,2,TRUE)</f>
        <v>0.375</v>
      </c>
      <c r="D170" s="462"/>
      <c r="E170" s="463"/>
      <c r="F170" s="449"/>
      <c r="G170" s="449"/>
      <c r="H170" s="449"/>
      <c r="I170" s="449"/>
      <c r="J170" s="467" t="str">
        <f ca="1">VLOOKUP(AR170,U10組合せ!$B$10:$I$17,5,TRUE)</f>
        <v>FCアネーロ・U-10</v>
      </c>
      <c r="K170" s="468"/>
      <c r="L170" s="468"/>
      <c r="M170" s="468"/>
      <c r="N170" s="468"/>
      <c r="O170" s="468"/>
      <c r="P170" s="468"/>
      <c r="Q170" s="446">
        <f>IF(OR(S170="",S171=""),"",S170+S171)</f>
        <v>1</v>
      </c>
      <c r="R170" s="446"/>
      <c r="S170" s="136">
        <v>1</v>
      </c>
      <c r="T170" s="137" t="s">
        <v>8</v>
      </c>
      <c r="U170" s="136">
        <v>2</v>
      </c>
      <c r="V170" s="446">
        <f>IF(OR(U170="",U171=""),"",U170+U171)</f>
        <v>3</v>
      </c>
      <c r="W170" s="446"/>
      <c r="X170" s="467" t="str">
        <f ca="1">VLOOKUP(AS170,U10組合せ!$B$10:$I$17,5,TRUE)</f>
        <v>FCアリーバ</v>
      </c>
      <c r="Y170" s="468"/>
      <c r="Z170" s="468"/>
      <c r="AA170" s="468"/>
      <c r="AB170" s="468"/>
      <c r="AC170" s="468"/>
      <c r="AD170" s="468"/>
      <c r="AE170" s="449"/>
      <c r="AF170" s="449"/>
      <c r="AG170" s="449"/>
      <c r="AH170" s="449"/>
      <c r="AI170" s="446" t="str">
        <f ca="1">DBCS(VLOOKUP(B170,U10対戦スケジュール!G$53:L$55,6,TRUE))</f>
        <v>２／４／７／２</v>
      </c>
      <c r="AJ170" s="449" t="e">
        <f>VLOOKUP(#REF!,U10対戦スケジュール!#REF!,3,TRUE)</f>
        <v>#REF!</v>
      </c>
      <c r="AK170" s="449" t="e">
        <f>VLOOKUP(#REF!,U10対戦スケジュール!#REF!,3,TRUE)</f>
        <v>#REF!</v>
      </c>
      <c r="AL170" s="449" t="e">
        <f>VLOOKUP(#REF!,U10対戦スケジュール!#REF!,3,TRUE)</f>
        <v>#REF!</v>
      </c>
      <c r="AM170" s="449" t="e">
        <f>VLOOKUP(#REF!,U10対戦スケジュール!#REF!,3,TRUE)</f>
        <v>#REF!</v>
      </c>
      <c r="AN170" s="449" t="e">
        <f>VLOOKUP(#REF!,U10対戦スケジュール!#REF!,3,TRUE)</f>
        <v>#REF!</v>
      </c>
      <c r="AO170" s="449" t="e">
        <f>VLOOKUP(#REF!,U10対戦スケジュール!#REF!,3,TRUE)</f>
        <v>#REF!</v>
      </c>
      <c r="AP170" s="449" t="e">
        <f>VLOOKUP(#REF!,U10対戦スケジュール!#REF!,3,TRUE)</f>
        <v>#REF!</v>
      </c>
      <c r="AR170" s="151">
        <f ca="1">VLOOKUP(B170,U10対戦スケジュール!G$53:L$55,3,TRUE)</f>
        <v>4</v>
      </c>
      <c r="AS170" s="151">
        <f ca="1">VLOOKUP(B170,U10対戦スケジュール!G$53:L$55,5)</f>
        <v>7</v>
      </c>
    </row>
    <row r="171" spans="2:45" ht="20.100000000000001" customHeight="1" x14ac:dyDescent="0.4">
      <c r="B171" s="442"/>
      <c r="C171" s="464"/>
      <c r="D171" s="465"/>
      <c r="E171" s="466"/>
      <c r="F171" s="449"/>
      <c r="G171" s="449"/>
      <c r="H171" s="449"/>
      <c r="I171" s="449"/>
      <c r="J171" s="468"/>
      <c r="K171" s="468"/>
      <c r="L171" s="468"/>
      <c r="M171" s="468"/>
      <c r="N171" s="468"/>
      <c r="O171" s="468"/>
      <c r="P171" s="468"/>
      <c r="Q171" s="446"/>
      <c r="R171" s="446"/>
      <c r="S171" s="136">
        <v>0</v>
      </c>
      <c r="T171" s="137" t="s">
        <v>8</v>
      </c>
      <c r="U171" s="136">
        <v>1</v>
      </c>
      <c r="V171" s="446"/>
      <c r="W171" s="446"/>
      <c r="X171" s="468"/>
      <c r="Y171" s="468"/>
      <c r="Z171" s="468"/>
      <c r="AA171" s="468"/>
      <c r="AB171" s="468"/>
      <c r="AC171" s="468"/>
      <c r="AD171" s="468"/>
      <c r="AE171" s="449"/>
      <c r="AF171" s="449"/>
      <c r="AG171" s="449"/>
      <c r="AH171" s="449"/>
      <c r="AI171" s="449" t="e">
        <f>VLOOKUP(#REF!,U10対戦スケジュール!#REF!,3,TRUE)</f>
        <v>#REF!</v>
      </c>
      <c r="AJ171" s="449" t="e">
        <f>VLOOKUP(#REF!,U10対戦スケジュール!#REF!,3,TRUE)</f>
        <v>#REF!</v>
      </c>
      <c r="AK171" s="449" t="e">
        <f>VLOOKUP(#REF!,U10対戦スケジュール!#REF!,3,TRUE)</f>
        <v>#REF!</v>
      </c>
      <c r="AL171" s="449" t="e">
        <f>VLOOKUP(#REF!,U10対戦スケジュール!#REF!,3,TRUE)</f>
        <v>#REF!</v>
      </c>
      <c r="AM171" s="449" t="e">
        <f>VLOOKUP(#REF!,U10対戦スケジュール!#REF!,3,TRUE)</f>
        <v>#REF!</v>
      </c>
      <c r="AN171" s="449" t="e">
        <f>VLOOKUP(#REF!,U10対戦スケジュール!#REF!,3,TRUE)</f>
        <v>#REF!</v>
      </c>
      <c r="AO171" s="449" t="e">
        <f>VLOOKUP(#REF!,U10対戦スケジュール!#REF!,3,TRUE)</f>
        <v>#REF!</v>
      </c>
      <c r="AP171" s="449" t="e">
        <f>VLOOKUP(#REF!,U10対戦スケジュール!#REF!,3,TRUE)</f>
        <v>#REF!</v>
      </c>
      <c r="AR171" s="151"/>
      <c r="AS171" s="151"/>
    </row>
    <row r="172" spans="2:45" ht="20.100000000000001" customHeight="1" x14ac:dyDescent="0.4">
      <c r="B172" s="442" t="str">
        <f ca="1">DBCS(INDIRECT("U10対戦スケジュール!G"&amp;(ROW())/2-32))</f>
        <v>②</v>
      </c>
      <c r="C172" s="461">
        <f ca="1">VLOOKUP(B172,U10対戦スケジュール!G$53:L$55,2,TRUE)</f>
        <v>0.41000000000000003</v>
      </c>
      <c r="D172" s="462"/>
      <c r="E172" s="463"/>
      <c r="F172" s="449"/>
      <c r="G172" s="449"/>
      <c r="H172" s="449"/>
      <c r="I172" s="449"/>
      <c r="J172" s="467" t="str">
        <f ca="1">VLOOKUP(AR172,U10組合せ!$B$10:$I$17,5,TRUE)</f>
        <v>栃木SC　U-10</v>
      </c>
      <c r="K172" s="468"/>
      <c r="L172" s="468"/>
      <c r="M172" s="468"/>
      <c r="N172" s="468"/>
      <c r="O172" s="468"/>
      <c r="P172" s="468"/>
      <c r="Q172" s="446">
        <f>IF(OR(S172="",S173=""),"",S172+S173)</f>
        <v>7</v>
      </c>
      <c r="R172" s="446"/>
      <c r="S172" s="136">
        <v>6</v>
      </c>
      <c r="T172" s="137" t="s">
        <v>8</v>
      </c>
      <c r="U172" s="136">
        <v>0</v>
      </c>
      <c r="V172" s="446">
        <f>IF(OR(U172="",U173=""),"",U172+U173)</f>
        <v>0</v>
      </c>
      <c r="W172" s="446"/>
      <c r="X172" s="467" t="str">
        <f ca="1">VLOOKUP(AS172,U10組合せ!$B$10:$I$17,5,TRUE)</f>
        <v>FCアネーロ・U-10</v>
      </c>
      <c r="Y172" s="468"/>
      <c r="Z172" s="468"/>
      <c r="AA172" s="468"/>
      <c r="AB172" s="468"/>
      <c r="AC172" s="468"/>
      <c r="AD172" s="468"/>
      <c r="AE172" s="449"/>
      <c r="AF172" s="449"/>
      <c r="AG172" s="449"/>
      <c r="AH172" s="449"/>
      <c r="AI172" s="446" t="str">
        <f ca="1">DBCS(VLOOKUP(B172,U10対戦スケジュール!G$53:L$55,6,TRUE))</f>
        <v>７／２／４／７</v>
      </c>
      <c r="AJ172" s="449" t="e">
        <f>VLOOKUP(#REF!,U10対戦スケジュール!#REF!,3,TRUE)</f>
        <v>#REF!</v>
      </c>
      <c r="AK172" s="449" t="e">
        <f>VLOOKUP(#REF!,U10対戦スケジュール!#REF!,3,TRUE)</f>
        <v>#REF!</v>
      </c>
      <c r="AL172" s="449" t="e">
        <f>VLOOKUP(#REF!,U10対戦スケジュール!#REF!,3,TRUE)</f>
        <v>#REF!</v>
      </c>
      <c r="AM172" s="449" t="e">
        <f>VLOOKUP(#REF!,U10対戦スケジュール!#REF!,3,TRUE)</f>
        <v>#REF!</v>
      </c>
      <c r="AN172" s="449" t="e">
        <f>VLOOKUP(#REF!,U10対戦スケジュール!#REF!,3,TRUE)</f>
        <v>#REF!</v>
      </c>
      <c r="AO172" s="449" t="e">
        <f>VLOOKUP(#REF!,U10対戦スケジュール!#REF!,3,TRUE)</f>
        <v>#REF!</v>
      </c>
      <c r="AP172" s="449" t="e">
        <f>VLOOKUP(#REF!,U10対戦スケジュール!#REF!,3,TRUE)</f>
        <v>#REF!</v>
      </c>
      <c r="AR172" s="151">
        <f ca="1">VLOOKUP(B172,U10対戦スケジュール!G$53:L$55,3,TRUE)</f>
        <v>2</v>
      </c>
      <c r="AS172" s="151">
        <f ca="1">VLOOKUP(B172,U10対戦スケジュール!G$53:L$55,5)</f>
        <v>4</v>
      </c>
    </row>
    <row r="173" spans="2:45" ht="20.100000000000001" customHeight="1" x14ac:dyDescent="0.4">
      <c r="B173" s="442"/>
      <c r="C173" s="464"/>
      <c r="D173" s="465"/>
      <c r="E173" s="466"/>
      <c r="F173" s="449"/>
      <c r="G173" s="449"/>
      <c r="H173" s="449"/>
      <c r="I173" s="449"/>
      <c r="J173" s="468"/>
      <c r="K173" s="468"/>
      <c r="L173" s="468"/>
      <c r="M173" s="468"/>
      <c r="N173" s="468"/>
      <c r="O173" s="468"/>
      <c r="P173" s="468"/>
      <c r="Q173" s="446"/>
      <c r="R173" s="446"/>
      <c r="S173" s="136">
        <v>1</v>
      </c>
      <c r="T173" s="137" t="s">
        <v>8</v>
      </c>
      <c r="U173" s="136">
        <v>0</v>
      </c>
      <c r="V173" s="446"/>
      <c r="W173" s="446"/>
      <c r="X173" s="468"/>
      <c r="Y173" s="468"/>
      <c r="Z173" s="468"/>
      <c r="AA173" s="468"/>
      <c r="AB173" s="468"/>
      <c r="AC173" s="468"/>
      <c r="AD173" s="468"/>
      <c r="AE173" s="449"/>
      <c r="AF173" s="449"/>
      <c r="AG173" s="449"/>
      <c r="AH173" s="449"/>
      <c r="AI173" s="449" t="e">
        <f>VLOOKUP(#REF!,U10対戦スケジュール!#REF!,3,TRUE)</f>
        <v>#REF!</v>
      </c>
      <c r="AJ173" s="449" t="e">
        <f>VLOOKUP(#REF!,U10対戦スケジュール!#REF!,3,TRUE)</f>
        <v>#REF!</v>
      </c>
      <c r="AK173" s="449" t="e">
        <f>VLOOKUP(#REF!,U10対戦スケジュール!#REF!,3,TRUE)</f>
        <v>#REF!</v>
      </c>
      <c r="AL173" s="449" t="e">
        <f>VLOOKUP(#REF!,U10対戦スケジュール!#REF!,3,TRUE)</f>
        <v>#REF!</v>
      </c>
      <c r="AM173" s="449" t="e">
        <f>VLOOKUP(#REF!,U10対戦スケジュール!#REF!,3,TRUE)</f>
        <v>#REF!</v>
      </c>
      <c r="AN173" s="449" t="e">
        <f>VLOOKUP(#REF!,U10対戦スケジュール!#REF!,3,TRUE)</f>
        <v>#REF!</v>
      </c>
      <c r="AO173" s="449" t="e">
        <f>VLOOKUP(#REF!,U10対戦スケジュール!#REF!,3,TRUE)</f>
        <v>#REF!</v>
      </c>
      <c r="AP173" s="449" t="e">
        <f>VLOOKUP(#REF!,U10対戦スケジュール!#REF!,3,TRUE)</f>
        <v>#REF!</v>
      </c>
    </row>
    <row r="174" spans="2:45" ht="20.100000000000001" customHeight="1" x14ac:dyDescent="0.4">
      <c r="B174" s="442" t="str">
        <f ca="1">DBCS(INDIRECT("U10対戦スケジュール!G"&amp;(ROW())/2-32))</f>
        <v>③</v>
      </c>
      <c r="C174" s="461">
        <f ca="1">VLOOKUP(B174,U10対戦スケジュール!G$53:L$55,2,TRUE)</f>
        <v>0.44500000000000006</v>
      </c>
      <c r="D174" s="462"/>
      <c r="E174" s="463"/>
      <c r="F174" s="449"/>
      <c r="G174" s="449"/>
      <c r="H174" s="449"/>
      <c r="I174" s="449"/>
      <c r="J174" s="467" t="str">
        <f ca="1">VLOOKUP(AR174,U10組合せ!$B$10:$I$17,5,TRUE)</f>
        <v>栃木SC　U-10</v>
      </c>
      <c r="K174" s="468"/>
      <c r="L174" s="468"/>
      <c r="M174" s="468"/>
      <c r="N174" s="468"/>
      <c r="O174" s="468"/>
      <c r="P174" s="468"/>
      <c r="Q174" s="446">
        <f>IF(OR(S174="",S175=""),"",S174+S175)</f>
        <v>5</v>
      </c>
      <c r="R174" s="446"/>
      <c r="S174" s="136">
        <v>4</v>
      </c>
      <c r="T174" s="137" t="s">
        <v>257</v>
      </c>
      <c r="U174" s="136">
        <v>0</v>
      </c>
      <c r="V174" s="446">
        <f>IF(OR(U174="",U175=""),"",U174+U175)</f>
        <v>0</v>
      </c>
      <c r="W174" s="446"/>
      <c r="X174" s="467" t="str">
        <f ca="1">VLOOKUP(AS174,U10組合せ!$B$10:$I$17,5,TRUE)</f>
        <v>FCアリーバ</v>
      </c>
      <c r="Y174" s="468"/>
      <c r="Z174" s="468"/>
      <c r="AA174" s="468"/>
      <c r="AB174" s="468"/>
      <c r="AC174" s="468"/>
      <c r="AD174" s="468"/>
      <c r="AE174" s="449"/>
      <c r="AF174" s="449"/>
      <c r="AG174" s="449"/>
      <c r="AH174" s="449"/>
      <c r="AI174" s="446" t="str">
        <f ca="1">DBCS(VLOOKUP(B174,U10対戦スケジュール!G$53:L$55,6,TRUE))</f>
        <v>４／７／２／４</v>
      </c>
      <c r="AJ174" s="449" t="e">
        <f>VLOOKUP(#REF!,U10対戦スケジュール!#REF!,3,TRUE)</f>
        <v>#REF!</v>
      </c>
      <c r="AK174" s="449" t="e">
        <f>VLOOKUP(#REF!,U10対戦スケジュール!#REF!,3,TRUE)</f>
        <v>#REF!</v>
      </c>
      <c r="AL174" s="449" t="e">
        <f>VLOOKUP(#REF!,U10対戦スケジュール!#REF!,3,TRUE)</f>
        <v>#REF!</v>
      </c>
      <c r="AM174" s="449" t="e">
        <f>VLOOKUP(#REF!,U10対戦スケジュール!#REF!,3,TRUE)</f>
        <v>#REF!</v>
      </c>
      <c r="AN174" s="449" t="e">
        <f>VLOOKUP(#REF!,U10対戦スケジュール!#REF!,3,TRUE)</f>
        <v>#REF!</v>
      </c>
      <c r="AO174" s="449" t="e">
        <f>VLOOKUP(#REF!,U10対戦スケジュール!#REF!,3,TRUE)</f>
        <v>#REF!</v>
      </c>
      <c r="AP174" s="449" t="e">
        <f>VLOOKUP(#REF!,U10対戦スケジュール!#REF!,3,TRUE)</f>
        <v>#REF!</v>
      </c>
      <c r="AR174" s="151">
        <f ca="1">VLOOKUP(B174,U10対戦スケジュール!G$53:L$55,3,TRUE)</f>
        <v>2</v>
      </c>
      <c r="AS174" s="151">
        <f ca="1">VLOOKUP(B174,U10対戦スケジュール!G$53:L$55,5)</f>
        <v>7</v>
      </c>
    </row>
    <row r="175" spans="2:45" ht="20.100000000000001" customHeight="1" x14ac:dyDescent="0.4">
      <c r="B175" s="442"/>
      <c r="C175" s="464"/>
      <c r="D175" s="465"/>
      <c r="E175" s="466"/>
      <c r="F175" s="449"/>
      <c r="G175" s="449"/>
      <c r="H175" s="449"/>
      <c r="I175" s="449"/>
      <c r="J175" s="468"/>
      <c r="K175" s="468"/>
      <c r="L175" s="468"/>
      <c r="M175" s="468"/>
      <c r="N175" s="468"/>
      <c r="O175" s="468"/>
      <c r="P175" s="468"/>
      <c r="Q175" s="446"/>
      <c r="R175" s="446"/>
      <c r="S175" s="136">
        <v>1</v>
      </c>
      <c r="T175" s="137" t="s">
        <v>256</v>
      </c>
      <c r="U175" s="136">
        <v>0</v>
      </c>
      <c r="V175" s="446"/>
      <c r="W175" s="446"/>
      <c r="X175" s="468"/>
      <c r="Y175" s="468"/>
      <c r="Z175" s="468"/>
      <c r="AA175" s="468"/>
      <c r="AB175" s="468"/>
      <c r="AC175" s="468"/>
      <c r="AD175" s="468"/>
      <c r="AE175" s="449"/>
      <c r="AF175" s="449"/>
      <c r="AG175" s="449"/>
      <c r="AH175" s="449"/>
      <c r="AI175" s="449" t="e">
        <f>VLOOKUP(#REF!,U10対戦スケジュール!#REF!,3,TRUE)</f>
        <v>#REF!</v>
      </c>
      <c r="AJ175" s="449" t="e">
        <f>VLOOKUP(#REF!,U10対戦スケジュール!#REF!,3,TRUE)</f>
        <v>#REF!</v>
      </c>
      <c r="AK175" s="449" t="e">
        <f>VLOOKUP(#REF!,U10対戦スケジュール!#REF!,3,TRUE)</f>
        <v>#REF!</v>
      </c>
      <c r="AL175" s="449" t="e">
        <f>VLOOKUP(#REF!,U10対戦スケジュール!#REF!,3,TRUE)</f>
        <v>#REF!</v>
      </c>
      <c r="AM175" s="449" t="e">
        <f>VLOOKUP(#REF!,U10対戦スケジュール!#REF!,3,TRUE)</f>
        <v>#REF!</v>
      </c>
      <c r="AN175" s="449" t="e">
        <f>VLOOKUP(#REF!,U10対戦スケジュール!#REF!,3,TRUE)</f>
        <v>#REF!</v>
      </c>
      <c r="AO175" s="449" t="e">
        <f>VLOOKUP(#REF!,U10対戦スケジュール!#REF!,3,TRUE)</f>
        <v>#REF!</v>
      </c>
      <c r="AP175" s="449" t="e">
        <f>VLOOKUP(#REF!,U10対戦スケジュール!#REF!,3,TRUE)</f>
        <v>#REF!</v>
      </c>
      <c r="AR175" s="151"/>
      <c r="AS175" s="151"/>
    </row>
    <row r="176" spans="2:45" ht="20.100000000000001" customHeight="1" x14ac:dyDescent="0.4">
      <c r="B176" s="442" t="str">
        <f ca="1">DBCS(INDIRECT("U10対戦スケジュール!G"&amp;(ROW())/2-32))</f>
        <v/>
      </c>
      <c r="C176" s="461"/>
      <c r="D176" s="462"/>
      <c r="E176" s="463"/>
      <c r="F176" s="449"/>
      <c r="G176" s="449"/>
      <c r="H176" s="449"/>
      <c r="I176" s="449"/>
      <c r="J176" s="467"/>
      <c r="K176" s="468"/>
      <c r="L176" s="468"/>
      <c r="M176" s="468"/>
      <c r="N176" s="468"/>
      <c r="O176" s="468"/>
      <c r="P176" s="468"/>
      <c r="Q176" s="446"/>
      <c r="R176" s="446"/>
      <c r="S176" s="136"/>
      <c r="T176" s="137"/>
      <c r="U176" s="136"/>
      <c r="V176" s="446"/>
      <c r="W176" s="446"/>
      <c r="X176" s="467"/>
      <c r="Y176" s="468"/>
      <c r="Z176" s="468"/>
      <c r="AA176" s="468"/>
      <c r="AB176" s="468"/>
      <c r="AC176" s="468"/>
      <c r="AD176" s="468"/>
      <c r="AE176" s="449"/>
      <c r="AF176" s="449"/>
      <c r="AG176" s="449"/>
      <c r="AH176" s="449"/>
      <c r="AI176" s="446"/>
      <c r="AJ176" s="449"/>
      <c r="AK176" s="449"/>
      <c r="AL176" s="449"/>
      <c r="AM176" s="449"/>
      <c r="AN176" s="449"/>
      <c r="AO176" s="449"/>
      <c r="AP176" s="449"/>
      <c r="AR176" s="151"/>
      <c r="AS176" s="151"/>
    </row>
    <row r="177" spans="1:45" ht="20.100000000000001" customHeight="1" x14ac:dyDescent="0.4">
      <c r="B177" s="442"/>
      <c r="C177" s="464"/>
      <c r="D177" s="465"/>
      <c r="E177" s="466"/>
      <c r="F177" s="449"/>
      <c r="G177" s="449"/>
      <c r="H177" s="449"/>
      <c r="I177" s="449"/>
      <c r="J177" s="468"/>
      <c r="K177" s="468"/>
      <c r="L177" s="468"/>
      <c r="M177" s="468"/>
      <c r="N177" s="468"/>
      <c r="O177" s="468"/>
      <c r="P177" s="468"/>
      <c r="Q177" s="446"/>
      <c r="R177" s="446"/>
      <c r="S177" s="136"/>
      <c r="T177" s="137"/>
      <c r="U177" s="136"/>
      <c r="V177" s="446"/>
      <c r="W177" s="446"/>
      <c r="X177" s="468"/>
      <c r="Y177" s="468"/>
      <c r="Z177" s="468"/>
      <c r="AA177" s="468"/>
      <c r="AB177" s="468"/>
      <c r="AC177" s="468"/>
      <c r="AD177" s="468"/>
      <c r="AE177" s="449"/>
      <c r="AF177" s="449"/>
      <c r="AG177" s="449"/>
      <c r="AH177" s="449"/>
      <c r="AI177" s="449"/>
      <c r="AJ177" s="449"/>
      <c r="AK177" s="449"/>
      <c r="AL177" s="449"/>
      <c r="AM177" s="449"/>
      <c r="AN177" s="449"/>
      <c r="AO177" s="449"/>
      <c r="AP177" s="449"/>
      <c r="AR177" s="151"/>
      <c r="AS177" s="151"/>
    </row>
    <row r="178" spans="1:45" ht="20.100000000000001" customHeight="1" x14ac:dyDescent="0.4">
      <c r="B178" s="442"/>
      <c r="C178" s="450"/>
      <c r="D178" s="450"/>
      <c r="E178" s="450"/>
      <c r="F178" s="449"/>
      <c r="G178" s="449"/>
      <c r="H178" s="449"/>
      <c r="I178" s="449"/>
      <c r="J178" s="447"/>
      <c r="K178" s="448"/>
      <c r="L178" s="448"/>
      <c r="M178" s="448"/>
      <c r="N178" s="448"/>
      <c r="O178" s="448"/>
      <c r="P178" s="448"/>
      <c r="Q178" s="446"/>
      <c r="R178" s="446"/>
      <c r="S178" s="136"/>
      <c r="T178" s="137"/>
      <c r="U178" s="136"/>
      <c r="V178" s="446"/>
      <c r="W178" s="446"/>
      <c r="X178" s="447"/>
      <c r="Y178" s="448"/>
      <c r="Z178" s="448"/>
      <c r="AA178" s="448"/>
      <c r="AB178" s="448"/>
      <c r="AC178" s="448"/>
      <c r="AD178" s="448"/>
      <c r="AE178" s="449"/>
      <c r="AF178" s="449"/>
      <c r="AG178" s="449"/>
      <c r="AH178" s="449"/>
      <c r="AI178" s="446"/>
      <c r="AJ178" s="449"/>
      <c r="AK178" s="449"/>
      <c r="AL178" s="449"/>
      <c r="AM178" s="449"/>
      <c r="AN178" s="449"/>
      <c r="AO178" s="449"/>
      <c r="AP178" s="449"/>
      <c r="AR178" s="151"/>
      <c r="AS178" s="151"/>
    </row>
    <row r="179" spans="1:45" ht="20.100000000000001" customHeight="1" x14ac:dyDescent="0.4">
      <c r="B179" s="442"/>
      <c r="C179" s="450"/>
      <c r="D179" s="450"/>
      <c r="E179" s="450"/>
      <c r="F179" s="449"/>
      <c r="G179" s="449"/>
      <c r="H179" s="449"/>
      <c r="I179" s="449"/>
      <c r="J179" s="448"/>
      <c r="K179" s="448"/>
      <c r="L179" s="448"/>
      <c r="M179" s="448"/>
      <c r="N179" s="448"/>
      <c r="O179" s="448"/>
      <c r="P179" s="448"/>
      <c r="Q179" s="446"/>
      <c r="R179" s="446"/>
      <c r="S179" s="136"/>
      <c r="T179" s="137"/>
      <c r="U179" s="136"/>
      <c r="V179" s="446"/>
      <c r="W179" s="446"/>
      <c r="X179" s="448"/>
      <c r="Y179" s="448"/>
      <c r="Z179" s="448"/>
      <c r="AA179" s="448"/>
      <c r="AB179" s="448"/>
      <c r="AC179" s="448"/>
      <c r="AD179" s="448"/>
      <c r="AE179" s="449"/>
      <c r="AF179" s="449"/>
      <c r="AG179" s="449"/>
      <c r="AH179" s="449"/>
      <c r="AI179" s="449"/>
      <c r="AJ179" s="449"/>
      <c r="AK179" s="449"/>
      <c r="AL179" s="449"/>
      <c r="AM179" s="449"/>
      <c r="AN179" s="449"/>
      <c r="AO179" s="449"/>
      <c r="AP179" s="449"/>
      <c r="AR179" s="151"/>
      <c r="AS179" s="151"/>
    </row>
    <row r="180" spans="1:45" ht="20.100000000000001" customHeight="1" x14ac:dyDescent="0.4">
      <c r="B180" s="442"/>
      <c r="C180" s="450"/>
      <c r="D180" s="450"/>
      <c r="E180" s="450"/>
      <c r="F180" s="449"/>
      <c r="G180" s="449"/>
      <c r="H180" s="449"/>
      <c r="I180" s="449"/>
      <c r="J180" s="447"/>
      <c r="K180" s="448"/>
      <c r="L180" s="448"/>
      <c r="M180" s="448"/>
      <c r="N180" s="448"/>
      <c r="O180" s="448"/>
      <c r="P180" s="448"/>
      <c r="Q180" s="446"/>
      <c r="R180" s="446"/>
      <c r="S180" s="136"/>
      <c r="T180" s="137"/>
      <c r="U180" s="136"/>
      <c r="V180" s="446"/>
      <c r="W180" s="446"/>
      <c r="X180" s="447"/>
      <c r="Y180" s="448"/>
      <c r="Z180" s="448"/>
      <c r="AA180" s="448"/>
      <c r="AB180" s="448"/>
      <c r="AC180" s="448"/>
      <c r="AD180" s="448"/>
      <c r="AE180" s="449"/>
      <c r="AF180" s="449"/>
      <c r="AG180" s="449"/>
      <c r="AH180" s="449"/>
      <c r="AI180" s="446"/>
      <c r="AJ180" s="449"/>
      <c r="AK180" s="449"/>
      <c r="AL180" s="449"/>
      <c r="AM180" s="449"/>
      <c r="AN180" s="449"/>
      <c r="AO180" s="449"/>
      <c r="AP180" s="449"/>
      <c r="AR180" s="151"/>
      <c r="AS180" s="151"/>
    </row>
    <row r="181" spans="1:45" ht="20.100000000000001" customHeight="1" x14ac:dyDescent="0.4">
      <c r="B181" s="442"/>
      <c r="C181" s="450"/>
      <c r="D181" s="450"/>
      <c r="E181" s="450"/>
      <c r="F181" s="449"/>
      <c r="G181" s="449"/>
      <c r="H181" s="449"/>
      <c r="I181" s="449"/>
      <c r="J181" s="448"/>
      <c r="K181" s="448"/>
      <c r="L181" s="448"/>
      <c r="M181" s="448"/>
      <c r="N181" s="448"/>
      <c r="O181" s="448"/>
      <c r="P181" s="448"/>
      <c r="Q181" s="446"/>
      <c r="R181" s="446"/>
      <c r="S181" s="136"/>
      <c r="T181" s="137"/>
      <c r="U181" s="136"/>
      <c r="V181" s="446"/>
      <c r="W181" s="446"/>
      <c r="X181" s="448"/>
      <c r="Y181" s="448"/>
      <c r="Z181" s="448"/>
      <c r="AA181" s="448"/>
      <c r="AB181" s="448"/>
      <c r="AC181" s="448"/>
      <c r="AD181" s="448"/>
      <c r="AE181" s="449"/>
      <c r="AF181" s="449"/>
      <c r="AG181" s="449"/>
      <c r="AH181" s="449"/>
      <c r="AI181" s="449"/>
      <c r="AJ181" s="449"/>
      <c r="AK181" s="449"/>
      <c r="AL181" s="449"/>
      <c r="AM181" s="449"/>
      <c r="AN181" s="449"/>
      <c r="AO181" s="449"/>
      <c r="AP181" s="449"/>
      <c r="AR181" s="151"/>
      <c r="AS181" s="151"/>
    </row>
    <row r="182" spans="1:45" ht="20.100000000000001" customHeight="1" x14ac:dyDescent="0.4">
      <c r="B182" s="442"/>
      <c r="C182" s="450"/>
      <c r="D182" s="450"/>
      <c r="E182" s="450"/>
      <c r="F182" s="449"/>
      <c r="G182" s="449"/>
      <c r="H182" s="449"/>
      <c r="I182" s="449"/>
      <c r="J182" s="447"/>
      <c r="K182" s="448"/>
      <c r="L182" s="448"/>
      <c r="M182" s="448"/>
      <c r="N182" s="448"/>
      <c r="O182" s="448"/>
      <c r="P182" s="448"/>
      <c r="Q182" s="446"/>
      <c r="R182" s="446"/>
      <c r="S182" s="136"/>
      <c r="T182" s="137"/>
      <c r="U182" s="136"/>
      <c r="V182" s="446"/>
      <c r="W182" s="446"/>
      <c r="X182" s="447"/>
      <c r="Y182" s="448"/>
      <c r="Z182" s="448"/>
      <c r="AA182" s="448"/>
      <c r="AB182" s="448"/>
      <c r="AC182" s="448"/>
      <c r="AD182" s="448"/>
      <c r="AE182" s="449"/>
      <c r="AF182" s="449"/>
      <c r="AG182" s="449"/>
      <c r="AH182" s="449"/>
      <c r="AI182" s="446"/>
      <c r="AJ182" s="449"/>
      <c r="AK182" s="449"/>
      <c r="AL182" s="449"/>
      <c r="AM182" s="449"/>
      <c r="AN182" s="449"/>
      <c r="AO182" s="449"/>
      <c r="AP182" s="449"/>
      <c r="AR182" s="151"/>
      <c r="AS182" s="151"/>
    </row>
    <row r="183" spans="1:45" ht="20.100000000000001" customHeight="1" x14ac:dyDescent="0.4">
      <c r="B183" s="442"/>
      <c r="C183" s="450"/>
      <c r="D183" s="450"/>
      <c r="E183" s="450"/>
      <c r="F183" s="449"/>
      <c r="G183" s="449"/>
      <c r="H183" s="449"/>
      <c r="I183" s="449"/>
      <c r="J183" s="448"/>
      <c r="K183" s="448"/>
      <c r="L183" s="448"/>
      <c r="M183" s="448"/>
      <c r="N183" s="448"/>
      <c r="O183" s="448"/>
      <c r="P183" s="448"/>
      <c r="Q183" s="446"/>
      <c r="R183" s="446"/>
      <c r="S183" s="136"/>
      <c r="T183" s="137"/>
      <c r="U183" s="136"/>
      <c r="V183" s="446"/>
      <c r="W183" s="446"/>
      <c r="X183" s="448"/>
      <c r="Y183" s="448"/>
      <c r="Z183" s="448"/>
      <c r="AA183" s="448"/>
      <c r="AB183" s="448"/>
      <c r="AC183" s="448"/>
      <c r="AD183" s="448"/>
      <c r="AE183" s="449"/>
      <c r="AF183" s="449"/>
      <c r="AG183" s="449"/>
      <c r="AH183" s="449"/>
      <c r="AI183" s="449"/>
      <c r="AJ183" s="449"/>
      <c r="AK183" s="449"/>
      <c r="AL183" s="449"/>
      <c r="AM183" s="449"/>
      <c r="AN183" s="449"/>
      <c r="AO183" s="449"/>
      <c r="AP183" s="449"/>
    </row>
    <row r="184" spans="1:45" ht="15.75" customHeight="1" x14ac:dyDescent="0.4">
      <c r="A184" s="138"/>
      <c r="B184" s="139"/>
      <c r="C184" s="140"/>
      <c r="D184" s="140"/>
      <c r="E184" s="140"/>
      <c r="F184" s="139"/>
      <c r="G184" s="139"/>
      <c r="H184" s="139"/>
      <c r="I184" s="139"/>
      <c r="J184" s="139"/>
      <c r="K184" s="141"/>
      <c r="L184" s="141"/>
      <c r="M184" s="142"/>
      <c r="N184" s="143"/>
      <c r="O184" s="142"/>
      <c r="P184" s="141"/>
      <c r="Q184" s="141"/>
      <c r="R184" s="139"/>
      <c r="S184" s="139"/>
      <c r="T184" s="139"/>
      <c r="U184" s="139"/>
      <c r="V184" s="139"/>
      <c r="W184" s="144"/>
      <c r="X184" s="144"/>
      <c r="Y184" s="144"/>
      <c r="Z184" s="144"/>
      <c r="AA184" s="144"/>
      <c r="AB184" s="144"/>
      <c r="AC184" s="138"/>
    </row>
    <row r="185" spans="1:45" ht="20.25" customHeight="1" x14ac:dyDescent="0.4">
      <c r="D185" s="442" t="s">
        <v>9</v>
      </c>
      <c r="E185" s="442"/>
      <c r="F185" s="442"/>
      <c r="G185" s="442"/>
      <c r="H185" s="442"/>
      <c r="I185" s="442"/>
      <c r="J185" s="442" t="s">
        <v>5</v>
      </c>
      <c r="K185" s="442"/>
      <c r="L185" s="442"/>
      <c r="M185" s="442"/>
      <c r="N185" s="442"/>
      <c r="O185" s="442"/>
      <c r="P185" s="442"/>
      <c r="Q185" s="442"/>
      <c r="R185" s="443" t="s">
        <v>10</v>
      </c>
      <c r="S185" s="443"/>
      <c r="T185" s="443"/>
      <c r="U185" s="443"/>
      <c r="V185" s="443"/>
      <c r="W185" s="443"/>
      <c r="X185" s="443"/>
      <c r="Y185" s="443"/>
      <c r="Z185" s="443"/>
      <c r="AA185" s="444" t="s">
        <v>11</v>
      </c>
      <c r="AB185" s="444"/>
      <c r="AC185" s="444"/>
      <c r="AD185" s="444" t="s">
        <v>12</v>
      </c>
      <c r="AE185" s="444"/>
      <c r="AF185" s="444"/>
      <c r="AG185" s="444"/>
      <c r="AH185" s="444"/>
      <c r="AI185" s="444"/>
      <c r="AJ185" s="444"/>
      <c r="AK185" s="444"/>
      <c r="AL185" s="444"/>
      <c r="AM185" s="444"/>
    </row>
    <row r="186" spans="1:45" ht="30" customHeight="1" x14ac:dyDescent="0.4">
      <c r="D186" s="442" t="s">
        <v>13</v>
      </c>
      <c r="E186" s="442"/>
      <c r="F186" s="442"/>
      <c r="G186" s="442"/>
      <c r="H186" s="442"/>
      <c r="I186" s="442"/>
      <c r="J186" s="442"/>
      <c r="K186" s="442"/>
      <c r="L186" s="442"/>
      <c r="M186" s="442"/>
      <c r="N186" s="442"/>
      <c r="O186" s="442"/>
      <c r="P186" s="442"/>
      <c r="Q186" s="442"/>
      <c r="R186" s="443"/>
      <c r="S186" s="443"/>
      <c r="T186" s="443"/>
      <c r="U186" s="443"/>
      <c r="V186" s="443"/>
      <c r="W186" s="443"/>
      <c r="X186" s="443"/>
      <c r="Y186" s="443"/>
      <c r="Z186" s="443"/>
      <c r="AA186" s="445"/>
      <c r="AB186" s="445"/>
      <c r="AC186" s="445"/>
      <c r="AD186" s="441"/>
      <c r="AE186" s="441"/>
      <c r="AF186" s="441"/>
      <c r="AG186" s="441"/>
      <c r="AH186" s="441"/>
      <c r="AI186" s="441"/>
      <c r="AJ186" s="441"/>
      <c r="AK186" s="441"/>
      <c r="AL186" s="441"/>
      <c r="AM186" s="441"/>
    </row>
    <row r="187" spans="1:45" ht="30" customHeight="1" x14ac:dyDescent="0.4">
      <c r="D187" s="442" t="s">
        <v>13</v>
      </c>
      <c r="E187" s="442"/>
      <c r="F187" s="442"/>
      <c r="G187" s="442"/>
      <c r="H187" s="442"/>
      <c r="I187" s="442"/>
      <c r="J187" s="442"/>
      <c r="K187" s="442"/>
      <c r="L187" s="442"/>
      <c r="M187" s="442"/>
      <c r="N187" s="442"/>
      <c r="O187" s="442"/>
      <c r="P187" s="442"/>
      <c r="Q187" s="442"/>
      <c r="R187" s="443"/>
      <c r="S187" s="443"/>
      <c r="T187" s="443"/>
      <c r="U187" s="443"/>
      <c r="V187" s="443"/>
      <c r="W187" s="443"/>
      <c r="X187" s="443"/>
      <c r="Y187" s="443"/>
      <c r="Z187" s="443"/>
      <c r="AA187" s="444"/>
      <c r="AB187" s="444"/>
      <c r="AC187" s="444"/>
      <c r="AD187" s="441"/>
      <c r="AE187" s="441"/>
      <c r="AF187" s="441"/>
      <c r="AG187" s="441"/>
      <c r="AH187" s="441"/>
      <c r="AI187" s="441"/>
      <c r="AJ187" s="441"/>
      <c r="AK187" s="441"/>
      <c r="AL187" s="441"/>
      <c r="AM187" s="441"/>
    </row>
    <row r="188" spans="1:45" ht="30" customHeight="1" x14ac:dyDescent="0.4">
      <c r="D188" s="442" t="s">
        <v>13</v>
      </c>
      <c r="E188" s="442"/>
      <c r="F188" s="442"/>
      <c r="G188" s="442"/>
      <c r="H188" s="442"/>
      <c r="I188" s="442"/>
      <c r="J188" s="442"/>
      <c r="K188" s="442"/>
      <c r="L188" s="442"/>
      <c r="M188" s="442"/>
      <c r="N188" s="442"/>
      <c r="O188" s="442"/>
      <c r="P188" s="442"/>
      <c r="Q188" s="442"/>
      <c r="R188" s="443"/>
      <c r="S188" s="443"/>
      <c r="T188" s="443"/>
      <c r="U188" s="443"/>
      <c r="V188" s="443"/>
      <c r="W188" s="443"/>
      <c r="X188" s="443"/>
      <c r="Y188" s="443"/>
      <c r="Z188" s="443"/>
      <c r="AA188" s="444"/>
      <c r="AB188" s="444"/>
      <c r="AC188" s="444"/>
      <c r="AD188" s="441"/>
      <c r="AE188" s="441"/>
      <c r="AF188" s="441"/>
      <c r="AG188" s="441"/>
      <c r="AH188" s="441"/>
      <c r="AI188" s="441"/>
      <c r="AJ188" s="441"/>
      <c r="AK188" s="441"/>
      <c r="AL188" s="441"/>
      <c r="AM188" s="441"/>
    </row>
    <row r="189" spans="1:45" ht="30" customHeight="1" x14ac:dyDescent="0.4">
      <c r="D189" s="442" t="s">
        <v>13</v>
      </c>
      <c r="E189" s="442"/>
      <c r="F189" s="442"/>
      <c r="G189" s="442"/>
      <c r="H189" s="442"/>
      <c r="I189" s="442"/>
      <c r="J189" s="442"/>
      <c r="K189" s="442"/>
      <c r="L189" s="442"/>
      <c r="M189" s="442"/>
      <c r="N189" s="442"/>
      <c r="O189" s="442"/>
      <c r="P189" s="442"/>
      <c r="Q189" s="442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4"/>
      <c r="AB189" s="444"/>
      <c r="AC189" s="444"/>
      <c r="AD189" s="441"/>
      <c r="AE189" s="441"/>
      <c r="AF189" s="441"/>
      <c r="AG189" s="441"/>
      <c r="AH189" s="441"/>
      <c r="AI189" s="441"/>
      <c r="AJ189" s="441"/>
      <c r="AK189" s="441"/>
      <c r="AL189" s="441"/>
      <c r="AM189" s="441"/>
    </row>
  </sheetData>
  <mergeCells count="734">
    <mergeCell ref="B1:AB2"/>
    <mergeCell ref="AC1:AJ2"/>
    <mergeCell ref="AK1:AO2"/>
    <mergeCell ref="AP1:AQ2"/>
    <mergeCell ref="B32:AB33"/>
    <mergeCell ref="AC32:AJ33"/>
    <mergeCell ref="AK32:AO33"/>
    <mergeCell ref="AP32:AQ33"/>
    <mergeCell ref="AD188:AM188"/>
    <mergeCell ref="AD186:AM186"/>
    <mergeCell ref="D187:I187"/>
    <mergeCell ref="J187:Q187"/>
    <mergeCell ref="R187:Z187"/>
    <mergeCell ref="AA187:AC187"/>
    <mergeCell ref="AD187:AM187"/>
    <mergeCell ref="D186:I186"/>
    <mergeCell ref="J186:Q186"/>
    <mergeCell ref="R186:Z186"/>
    <mergeCell ref="AA186:AC186"/>
    <mergeCell ref="D185:I185"/>
    <mergeCell ref="J185:Q185"/>
    <mergeCell ref="R185:Z185"/>
    <mergeCell ref="AA185:AC185"/>
    <mergeCell ref="AD185:AM185"/>
    <mergeCell ref="D189:I189"/>
    <mergeCell ref="J189:Q189"/>
    <mergeCell ref="R189:Z189"/>
    <mergeCell ref="AA189:AC189"/>
    <mergeCell ref="AD189:AM189"/>
    <mergeCell ref="D188:I188"/>
    <mergeCell ref="J188:Q188"/>
    <mergeCell ref="R188:Z188"/>
    <mergeCell ref="AA188:AC188"/>
    <mergeCell ref="B182:B183"/>
    <mergeCell ref="C182:E183"/>
    <mergeCell ref="F182:I183"/>
    <mergeCell ref="J182:P183"/>
    <mergeCell ref="AI178:AP179"/>
    <mergeCell ref="B180:B181"/>
    <mergeCell ref="C180:E181"/>
    <mergeCell ref="F180:I181"/>
    <mergeCell ref="J180:P181"/>
    <mergeCell ref="Q180:R181"/>
    <mergeCell ref="AI182:AP183"/>
    <mergeCell ref="Q182:R183"/>
    <mergeCell ref="V182:W183"/>
    <mergeCell ref="X182:AD183"/>
    <mergeCell ref="AE182:AH183"/>
    <mergeCell ref="V180:W181"/>
    <mergeCell ref="X180:AD181"/>
    <mergeCell ref="AE180:AH181"/>
    <mergeCell ref="AI180:AP181"/>
    <mergeCell ref="Q178:R179"/>
    <mergeCell ref="V178:W179"/>
    <mergeCell ref="X178:AD179"/>
    <mergeCell ref="AE178:AH179"/>
    <mergeCell ref="V176:W177"/>
    <mergeCell ref="X176:AD177"/>
    <mergeCell ref="AE176:AH177"/>
    <mergeCell ref="AI176:AP177"/>
    <mergeCell ref="Q174:R175"/>
    <mergeCell ref="V174:W175"/>
    <mergeCell ref="X174:AD175"/>
    <mergeCell ref="AE174:AH175"/>
    <mergeCell ref="B178:B179"/>
    <mergeCell ref="C178:E179"/>
    <mergeCell ref="F178:I179"/>
    <mergeCell ref="J178:P179"/>
    <mergeCell ref="AI174:AP175"/>
    <mergeCell ref="B176:B177"/>
    <mergeCell ref="C176:E177"/>
    <mergeCell ref="F176:I177"/>
    <mergeCell ref="J176:P177"/>
    <mergeCell ref="Q176:R177"/>
    <mergeCell ref="B174:B175"/>
    <mergeCell ref="C174:E175"/>
    <mergeCell ref="F174:I175"/>
    <mergeCell ref="J174:P175"/>
    <mergeCell ref="C169:E169"/>
    <mergeCell ref="AI170:AP171"/>
    <mergeCell ref="B172:B173"/>
    <mergeCell ref="C172:E173"/>
    <mergeCell ref="F172:I173"/>
    <mergeCell ref="J172:P173"/>
    <mergeCell ref="Q172:R173"/>
    <mergeCell ref="B170:B171"/>
    <mergeCell ref="C170:E171"/>
    <mergeCell ref="F170:I171"/>
    <mergeCell ref="J170:P171"/>
    <mergeCell ref="V172:W173"/>
    <mergeCell ref="X172:AD173"/>
    <mergeCell ref="AE172:AH173"/>
    <mergeCell ref="AI172:AP173"/>
    <mergeCell ref="Q170:R171"/>
    <mergeCell ref="V170:W171"/>
    <mergeCell ref="X170:AD171"/>
    <mergeCell ref="AE170:AH171"/>
    <mergeCell ref="X169:AD169"/>
    <mergeCell ref="AE169:AH169"/>
    <mergeCell ref="AI169:AP169"/>
    <mergeCell ref="F169:I169"/>
    <mergeCell ref="J169:P169"/>
    <mergeCell ref="Q169:W169"/>
    <mergeCell ref="AP159:AQ160"/>
    <mergeCell ref="C161:F161"/>
    <mergeCell ref="G161:O161"/>
    <mergeCell ref="P161:S161"/>
    <mergeCell ref="T161:AB161"/>
    <mergeCell ref="AC161:AF161"/>
    <mergeCell ref="AG161:AL161"/>
    <mergeCell ref="AM161:AO161"/>
    <mergeCell ref="AE163:AF163"/>
    <mergeCell ref="AG163:AP163"/>
    <mergeCell ref="C163:D163"/>
    <mergeCell ref="E163:N163"/>
    <mergeCell ref="C164:D164"/>
    <mergeCell ref="E164:N164"/>
    <mergeCell ref="Q164:R164"/>
    <mergeCell ref="S164:AB164"/>
    <mergeCell ref="AE164:AF164"/>
    <mergeCell ref="AG164:AP164"/>
    <mergeCell ref="C165:D165"/>
    <mergeCell ref="E165:N165"/>
    <mergeCell ref="Q165:R165"/>
    <mergeCell ref="S165:AB165"/>
    <mergeCell ref="AE165:AF165"/>
    <mergeCell ref="AG165:AP165"/>
    <mergeCell ref="AD155:AM155"/>
    <mergeCell ref="D156:I156"/>
    <mergeCell ref="J156:Q156"/>
    <mergeCell ref="R156:Z156"/>
    <mergeCell ref="AA156:AC156"/>
    <mergeCell ref="AD156:AM156"/>
    <mergeCell ref="D155:I155"/>
    <mergeCell ref="J155:Q155"/>
    <mergeCell ref="R155:Z155"/>
    <mergeCell ref="AA155:AC155"/>
    <mergeCell ref="AD157:AM157"/>
    <mergeCell ref="B159:AB160"/>
    <mergeCell ref="AC159:AJ160"/>
    <mergeCell ref="AK159:AO160"/>
    <mergeCell ref="D157:I157"/>
    <mergeCell ref="J157:Q157"/>
    <mergeCell ref="R157:Z157"/>
    <mergeCell ref="AA157:AC157"/>
    <mergeCell ref="Q163:R163"/>
    <mergeCell ref="S163:AB163"/>
    <mergeCell ref="AD153:AM153"/>
    <mergeCell ref="D154:I154"/>
    <mergeCell ref="J154:Q154"/>
    <mergeCell ref="R154:Z154"/>
    <mergeCell ref="AA154:AC154"/>
    <mergeCell ref="AD154:AM154"/>
    <mergeCell ref="D153:I153"/>
    <mergeCell ref="J153:Q153"/>
    <mergeCell ref="R153:Z153"/>
    <mergeCell ref="AA153:AC153"/>
    <mergeCell ref="B150:B151"/>
    <mergeCell ref="C150:E151"/>
    <mergeCell ref="F150:I151"/>
    <mergeCell ref="J150:P151"/>
    <mergeCell ref="Q150:R151"/>
    <mergeCell ref="V150:W151"/>
    <mergeCell ref="X150:AD151"/>
    <mergeCell ref="AE150:AH151"/>
    <mergeCell ref="AI150:AP151"/>
    <mergeCell ref="Q148:R149"/>
    <mergeCell ref="V148:W149"/>
    <mergeCell ref="X148:AD149"/>
    <mergeCell ref="AE148:AH149"/>
    <mergeCell ref="B148:B149"/>
    <mergeCell ref="C148:E149"/>
    <mergeCell ref="F148:I149"/>
    <mergeCell ref="J148:P149"/>
    <mergeCell ref="AI148:AP149"/>
    <mergeCell ref="B146:B147"/>
    <mergeCell ref="C146:E147"/>
    <mergeCell ref="F146:I147"/>
    <mergeCell ref="J146:P147"/>
    <mergeCell ref="Q146:R147"/>
    <mergeCell ref="V146:W147"/>
    <mergeCell ref="X146:AD147"/>
    <mergeCell ref="AE146:AH147"/>
    <mergeCell ref="AI146:AP147"/>
    <mergeCell ref="Q144:R145"/>
    <mergeCell ref="V144:W145"/>
    <mergeCell ref="X144:AD145"/>
    <mergeCell ref="AE144:AH145"/>
    <mergeCell ref="B144:B145"/>
    <mergeCell ref="C144:E145"/>
    <mergeCell ref="F144:I145"/>
    <mergeCell ref="J144:P145"/>
    <mergeCell ref="AI144:AP145"/>
    <mergeCell ref="B142:B143"/>
    <mergeCell ref="C142:E143"/>
    <mergeCell ref="F142:I143"/>
    <mergeCell ref="J142:P143"/>
    <mergeCell ref="Q142:R143"/>
    <mergeCell ref="V142:W143"/>
    <mergeCell ref="X142:AD143"/>
    <mergeCell ref="AE142:AH143"/>
    <mergeCell ref="AI142:AP143"/>
    <mergeCell ref="B140:B141"/>
    <mergeCell ref="C140:E141"/>
    <mergeCell ref="F140:I141"/>
    <mergeCell ref="J140:P141"/>
    <mergeCell ref="Q140:R141"/>
    <mergeCell ref="V140:W141"/>
    <mergeCell ref="X140:AD141"/>
    <mergeCell ref="AE140:AH141"/>
    <mergeCell ref="AI140:AP141"/>
    <mergeCell ref="B138:B139"/>
    <mergeCell ref="C138:E139"/>
    <mergeCell ref="F138:I139"/>
    <mergeCell ref="J138:P139"/>
    <mergeCell ref="Q138:R139"/>
    <mergeCell ref="V138:W139"/>
    <mergeCell ref="X138:AD139"/>
    <mergeCell ref="AE138:AH139"/>
    <mergeCell ref="AI138:AP139"/>
    <mergeCell ref="C137:E137"/>
    <mergeCell ref="F137:I137"/>
    <mergeCell ref="J137:P137"/>
    <mergeCell ref="Q137:W137"/>
    <mergeCell ref="AE132:AF132"/>
    <mergeCell ref="AG132:AP132"/>
    <mergeCell ref="C133:D133"/>
    <mergeCell ref="E133:N133"/>
    <mergeCell ref="Q133:R133"/>
    <mergeCell ref="S133:AB133"/>
    <mergeCell ref="X137:AD137"/>
    <mergeCell ref="AE137:AH137"/>
    <mergeCell ref="AI137:AP137"/>
    <mergeCell ref="C131:D131"/>
    <mergeCell ref="E131:N131"/>
    <mergeCell ref="Q131:R131"/>
    <mergeCell ref="S131:AB131"/>
    <mergeCell ref="AE131:AF131"/>
    <mergeCell ref="AG131:AP131"/>
    <mergeCell ref="C129:F129"/>
    <mergeCell ref="AE133:AF133"/>
    <mergeCell ref="AG133:AP133"/>
    <mergeCell ref="C132:D132"/>
    <mergeCell ref="E132:N132"/>
    <mergeCell ref="Q132:R132"/>
    <mergeCell ref="S132:AB132"/>
    <mergeCell ref="G129:O129"/>
    <mergeCell ref="P129:S129"/>
    <mergeCell ref="T129:AB129"/>
    <mergeCell ref="B127:AB128"/>
    <mergeCell ref="AC127:AJ128"/>
    <mergeCell ref="AK127:AO128"/>
    <mergeCell ref="AC129:AF129"/>
    <mergeCell ref="AG129:AL129"/>
    <mergeCell ref="AM129:AO129"/>
    <mergeCell ref="AP127:AQ128"/>
    <mergeCell ref="AD124:AM124"/>
    <mergeCell ref="D125:I125"/>
    <mergeCell ref="J125:Q125"/>
    <mergeCell ref="R125:Z125"/>
    <mergeCell ref="AA125:AC125"/>
    <mergeCell ref="AD125:AM125"/>
    <mergeCell ref="D124:I124"/>
    <mergeCell ref="J124:Q124"/>
    <mergeCell ref="R124:Z124"/>
    <mergeCell ref="AA124:AC124"/>
    <mergeCell ref="AD122:AM122"/>
    <mergeCell ref="D123:I123"/>
    <mergeCell ref="J123:Q123"/>
    <mergeCell ref="R123:Z123"/>
    <mergeCell ref="AA123:AC123"/>
    <mergeCell ref="AD123:AM123"/>
    <mergeCell ref="D122:I122"/>
    <mergeCell ref="J122:Q122"/>
    <mergeCell ref="R122:Z122"/>
    <mergeCell ref="AA122:AC122"/>
    <mergeCell ref="D121:I121"/>
    <mergeCell ref="J121:Q121"/>
    <mergeCell ref="R121:Z121"/>
    <mergeCell ref="AA121:AC121"/>
    <mergeCell ref="AD121:AM121"/>
    <mergeCell ref="Q118:R119"/>
    <mergeCell ref="V118:W119"/>
    <mergeCell ref="X118:AD119"/>
    <mergeCell ref="AE118:AH119"/>
    <mergeCell ref="B118:B119"/>
    <mergeCell ref="C118:E119"/>
    <mergeCell ref="F118:I119"/>
    <mergeCell ref="J118:P119"/>
    <mergeCell ref="AI114:AP115"/>
    <mergeCell ref="B116:B117"/>
    <mergeCell ref="C116:E117"/>
    <mergeCell ref="F116:I117"/>
    <mergeCell ref="J116:P117"/>
    <mergeCell ref="Q116:R117"/>
    <mergeCell ref="V116:W117"/>
    <mergeCell ref="X116:AD117"/>
    <mergeCell ref="AE116:AH117"/>
    <mergeCell ref="AI116:AP117"/>
    <mergeCell ref="Q114:R115"/>
    <mergeCell ref="V114:W115"/>
    <mergeCell ref="X114:AD115"/>
    <mergeCell ref="AE114:AH115"/>
    <mergeCell ref="AI118:AP119"/>
    <mergeCell ref="V112:W113"/>
    <mergeCell ref="X112:AD113"/>
    <mergeCell ref="AE112:AH113"/>
    <mergeCell ref="AI112:AP113"/>
    <mergeCell ref="Q110:R111"/>
    <mergeCell ref="V110:W111"/>
    <mergeCell ref="X110:AD111"/>
    <mergeCell ref="AE110:AH111"/>
    <mergeCell ref="B114:B115"/>
    <mergeCell ref="C114:E115"/>
    <mergeCell ref="F114:I115"/>
    <mergeCell ref="J114:P115"/>
    <mergeCell ref="AI110:AP111"/>
    <mergeCell ref="B112:B113"/>
    <mergeCell ref="C112:E113"/>
    <mergeCell ref="F112:I113"/>
    <mergeCell ref="J112:P113"/>
    <mergeCell ref="Q112:R113"/>
    <mergeCell ref="B110:B111"/>
    <mergeCell ref="C110:E111"/>
    <mergeCell ref="F110:I111"/>
    <mergeCell ref="J110:P111"/>
    <mergeCell ref="C105:E105"/>
    <mergeCell ref="AI106:AP107"/>
    <mergeCell ref="B108:B109"/>
    <mergeCell ref="C108:E109"/>
    <mergeCell ref="F108:I109"/>
    <mergeCell ref="J108:P109"/>
    <mergeCell ref="Q108:R109"/>
    <mergeCell ref="B106:B107"/>
    <mergeCell ref="C106:E107"/>
    <mergeCell ref="F106:I107"/>
    <mergeCell ref="J106:P107"/>
    <mergeCell ref="V108:W109"/>
    <mergeCell ref="X108:AD109"/>
    <mergeCell ref="AE108:AH109"/>
    <mergeCell ref="AI108:AP109"/>
    <mergeCell ref="Q106:R107"/>
    <mergeCell ref="V106:W107"/>
    <mergeCell ref="X106:AD107"/>
    <mergeCell ref="AE106:AH107"/>
    <mergeCell ref="X105:AD105"/>
    <mergeCell ref="AE105:AH105"/>
    <mergeCell ref="AI105:AP105"/>
    <mergeCell ref="F105:I105"/>
    <mergeCell ref="J105:P105"/>
    <mergeCell ref="Q105:W105"/>
    <mergeCell ref="AP95:AQ96"/>
    <mergeCell ref="C97:F97"/>
    <mergeCell ref="G97:O97"/>
    <mergeCell ref="P97:S97"/>
    <mergeCell ref="T97:AB97"/>
    <mergeCell ref="AC97:AF97"/>
    <mergeCell ref="AG97:AL97"/>
    <mergeCell ref="AM97:AO97"/>
    <mergeCell ref="AE99:AF99"/>
    <mergeCell ref="AG99:AP99"/>
    <mergeCell ref="C99:D99"/>
    <mergeCell ref="E99:N99"/>
    <mergeCell ref="C100:D100"/>
    <mergeCell ref="E100:N100"/>
    <mergeCell ref="Q100:R100"/>
    <mergeCell ref="S100:AB100"/>
    <mergeCell ref="AE100:AF100"/>
    <mergeCell ref="AG100:AP100"/>
    <mergeCell ref="C101:D101"/>
    <mergeCell ref="E101:N101"/>
    <mergeCell ref="Q101:R101"/>
    <mergeCell ref="S101:AB101"/>
    <mergeCell ref="AE101:AF101"/>
    <mergeCell ref="AG101:AP101"/>
    <mergeCell ref="AD91:AM91"/>
    <mergeCell ref="D92:I92"/>
    <mergeCell ref="J92:Q92"/>
    <mergeCell ref="R92:Z92"/>
    <mergeCell ref="AA92:AC92"/>
    <mergeCell ref="AD92:AM92"/>
    <mergeCell ref="D91:I91"/>
    <mergeCell ref="J91:Q91"/>
    <mergeCell ref="R91:Z91"/>
    <mergeCell ref="AA91:AC91"/>
    <mergeCell ref="AD93:AM93"/>
    <mergeCell ref="B95:AB96"/>
    <mergeCell ref="AC95:AJ96"/>
    <mergeCell ref="AK95:AO96"/>
    <mergeCell ref="D93:I93"/>
    <mergeCell ref="J93:Q93"/>
    <mergeCell ref="R93:Z93"/>
    <mergeCell ref="AA93:AC93"/>
    <mergeCell ref="Q99:R99"/>
    <mergeCell ref="S99:AB99"/>
    <mergeCell ref="AD89:AM89"/>
    <mergeCell ref="D90:I90"/>
    <mergeCell ref="J90:Q90"/>
    <mergeCell ref="R90:Z90"/>
    <mergeCell ref="AA90:AC90"/>
    <mergeCell ref="AD90:AM90"/>
    <mergeCell ref="D89:I89"/>
    <mergeCell ref="J89:Q89"/>
    <mergeCell ref="R89:Z89"/>
    <mergeCell ref="AA89:AC89"/>
    <mergeCell ref="B86:B87"/>
    <mergeCell ref="C86:E87"/>
    <mergeCell ref="F86:I87"/>
    <mergeCell ref="J86:P87"/>
    <mergeCell ref="Q86:R87"/>
    <mergeCell ref="V86:W87"/>
    <mergeCell ref="X86:AD87"/>
    <mergeCell ref="AE86:AH87"/>
    <mergeCell ref="AI86:AP87"/>
    <mergeCell ref="Q84:R85"/>
    <mergeCell ref="V84:W85"/>
    <mergeCell ref="X84:AD85"/>
    <mergeCell ref="AE84:AH85"/>
    <mergeCell ref="B84:B85"/>
    <mergeCell ref="C84:E85"/>
    <mergeCell ref="F84:I85"/>
    <mergeCell ref="J84:P85"/>
    <mergeCell ref="AI84:AP85"/>
    <mergeCell ref="B82:B83"/>
    <mergeCell ref="C82:E83"/>
    <mergeCell ref="F82:I83"/>
    <mergeCell ref="J82:P83"/>
    <mergeCell ref="Q82:R83"/>
    <mergeCell ref="V82:W83"/>
    <mergeCell ref="X82:AD83"/>
    <mergeCell ref="AE82:AH83"/>
    <mergeCell ref="AI82:AP83"/>
    <mergeCell ref="Q80:R81"/>
    <mergeCell ref="V80:W81"/>
    <mergeCell ref="X80:AD81"/>
    <mergeCell ref="AE80:AH81"/>
    <mergeCell ref="B80:B81"/>
    <mergeCell ref="C80:E81"/>
    <mergeCell ref="F80:I81"/>
    <mergeCell ref="J80:P81"/>
    <mergeCell ref="AI80:AP81"/>
    <mergeCell ref="B78:B79"/>
    <mergeCell ref="C78:E79"/>
    <mergeCell ref="F78:I79"/>
    <mergeCell ref="J78:P79"/>
    <mergeCell ref="Q78:R79"/>
    <mergeCell ref="V78:W79"/>
    <mergeCell ref="X78:AD79"/>
    <mergeCell ref="AE78:AH79"/>
    <mergeCell ref="AI78:AP79"/>
    <mergeCell ref="B76:B77"/>
    <mergeCell ref="C76:E77"/>
    <mergeCell ref="F76:I77"/>
    <mergeCell ref="J76:P77"/>
    <mergeCell ref="Q76:R77"/>
    <mergeCell ref="V76:W77"/>
    <mergeCell ref="X76:AD77"/>
    <mergeCell ref="AE76:AH77"/>
    <mergeCell ref="AI76:AP77"/>
    <mergeCell ref="B74:B75"/>
    <mergeCell ref="C74:E75"/>
    <mergeCell ref="F74:I75"/>
    <mergeCell ref="J74:P75"/>
    <mergeCell ref="Q74:R75"/>
    <mergeCell ref="V74:W75"/>
    <mergeCell ref="X74:AD75"/>
    <mergeCell ref="AE74:AH75"/>
    <mergeCell ref="AI74:AP75"/>
    <mergeCell ref="C73:E73"/>
    <mergeCell ref="F73:I73"/>
    <mergeCell ref="J73:P73"/>
    <mergeCell ref="Q73:W73"/>
    <mergeCell ref="AE68:AF68"/>
    <mergeCell ref="AG68:AP68"/>
    <mergeCell ref="C69:D69"/>
    <mergeCell ref="E69:N69"/>
    <mergeCell ref="Q69:R69"/>
    <mergeCell ref="S69:AB69"/>
    <mergeCell ref="X73:AD73"/>
    <mergeCell ref="AE73:AH73"/>
    <mergeCell ref="AI73:AP73"/>
    <mergeCell ref="C67:D67"/>
    <mergeCell ref="E67:N67"/>
    <mergeCell ref="Q67:R67"/>
    <mergeCell ref="S67:AB67"/>
    <mergeCell ref="AE67:AF67"/>
    <mergeCell ref="AG67:AP67"/>
    <mergeCell ref="C65:F65"/>
    <mergeCell ref="AE69:AF69"/>
    <mergeCell ref="AG69:AP69"/>
    <mergeCell ref="C68:D68"/>
    <mergeCell ref="E68:N68"/>
    <mergeCell ref="Q68:R68"/>
    <mergeCell ref="S68:AB68"/>
    <mergeCell ref="G65:O65"/>
    <mergeCell ref="P65:S65"/>
    <mergeCell ref="T65:AB65"/>
    <mergeCell ref="B63:AB64"/>
    <mergeCell ref="AC63:AJ64"/>
    <mergeCell ref="AK63:AO64"/>
    <mergeCell ref="AC65:AF65"/>
    <mergeCell ref="AG65:AL65"/>
    <mergeCell ref="AM65:AO65"/>
    <mergeCell ref="AP63:AQ64"/>
    <mergeCell ref="C3:F3"/>
    <mergeCell ref="G3:O3"/>
    <mergeCell ref="P3:S3"/>
    <mergeCell ref="T3:AB3"/>
    <mergeCell ref="AC3:AF3"/>
    <mergeCell ref="AG3:AL3"/>
    <mergeCell ref="AM3:AO3"/>
    <mergeCell ref="AE6:AF6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X11:AD11"/>
    <mergeCell ref="AE11:AH11"/>
    <mergeCell ref="C7:D7"/>
    <mergeCell ref="E7:N7"/>
    <mergeCell ref="Q7:R7"/>
    <mergeCell ref="S7:AB7"/>
    <mergeCell ref="AE7:AF7"/>
    <mergeCell ref="AG7:AP7"/>
    <mergeCell ref="C11:E11"/>
    <mergeCell ref="AG6:AP6"/>
    <mergeCell ref="F11:I11"/>
    <mergeCell ref="J11:P11"/>
    <mergeCell ref="Q11:W11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AE18:AH19"/>
    <mergeCell ref="AI18:AP19"/>
    <mergeCell ref="AE16:AH17"/>
    <mergeCell ref="AI16:AP17"/>
    <mergeCell ref="B14:B15"/>
    <mergeCell ref="C14:E15"/>
    <mergeCell ref="F14:I15"/>
    <mergeCell ref="J14:P15"/>
    <mergeCell ref="Q14:R15"/>
    <mergeCell ref="V14:W15"/>
    <mergeCell ref="Q16:R17"/>
    <mergeCell ref="V16:W17"/>
    <mergeCell ref="X16:AD17"/>
    <mergeCell ref="X14:AD15"/>
    <mergeCell ref="AE14:AH15"/>
    <mergeCell ref="AI14:AP15"/>
    <mergeCell ref="B16:B17"/>
    <mergeCell ref="C16:E17"/>
    <mergeCell ref="F16:I17"/>
    <mergeCell ref="J16:P17"/>
    <mergeCell ref="B18:B19"/>
    <mergeCell ref="C18:E19"/>
    <mergeCell ref="F18:I19"/>
    <mergeCell ref="J18:P19"/>
    <mergeCell ref="Q18:R19"/>
    <mergeCell ref="V18:W19"/>
    <mergeCell ref="X18:AD19"/>
    <mergeCell ref="B20:B21"/>
    <mergeCell ref="C20:E21"/>
    <mergeCell ref="F20:I21"/>
    <mergeCell ref="J20:P21"/>
    <mergeCell ref="Q20:R21"/>
    <mergeCell ref="V20:W21"/>
    <mergeCell ref="B22:B23"/>
    <mergeCell ref="C22:E23"/>
    <mergeCell ref="X20:AD21"/>
    <mergeCell ref="F22:I23"/>
    <mergeCell ref="J22:P23"/>
    <mergeCell ref="X22:AD23"/>
    <mergeCell ref="AE22:AH23"/>
    <mergeCell ref="AI22:AP23"/>
    <mergeCell ref="B24:B25"/>
    <mergeCell ref="C24:E25"/>
    <mergeCell ref="F24:I25"/>
    <mergeCell ref="J24:P25"/>
    <mergeCell ref="Q24:R25"/>
    <mergeCell ref="Q22:R23"/>
    <mergeCell ref="V22:W23"/>
    <mergeCell ref="V24:W25"/>
    <mergeCell ref="X24:AD25"/>
    <mergeCell ref="AE24:AH25"/>
    <mergeCell ref="AI24:AP25"/>
    <mergeCell ref="AE20:AH21"/>
    <mergeCell ref="AI20:AP21"/>
    <mergeCell ref="D27:I27"/>
    <mergeCell ref="J27:Q27"/>
    <mergeCell ref="R27:Z27"/>
    <mergeCell ref="AA27:AC27"/>
    <mergeCell ref="AD27:AM27"/>
    <mergeCell ref="D30:I30"/>
    <mergeCell ref="J30:Q30"/>
    <mergeCell ref="R30:Z30"/>
    <mergeCell ref="AA30:AC30"/>
    <mergeCell ref="AD30:AM30"/>
    <mergeCell ref="AG36:AP36"/>
    <mergeCell ref="AM34:AO34"/>
    <mergeCell ref="AD28:AM28"/>
    <mergeCell ref="D29:I29"/>
    <mergeCell ref="J29:Q29"/>
    <mergeCell ref="R29:Z29"/>
    <mergeCell ref="AA29:AC29"/>
    <mergeCell ref="AD29:AM29"/>
    <mergeCell ref="D28:I28"/>
    <mergeCell ref="J28:Q28"/>
    <mergeCell ref="R28:Z28"/>
    <mergeCell ref="AA28:AC28"/>
    <mergeCell ref="C34:F34"/>
    <mergeCell ref="G34:O34"/>
    <mergeCell ref="P34:S34"/>
    <mergeCell ref="T34:AB34"/>
    <mergeCell ref="AC34:AF34"/>
    <mergeCell ref="AG34:AL34"/>
    <mergeCell ref="E37:N37"/>
    <mergeCell ref="Q37:R37"/>
    <mergeCell ref="S37:AB37"/>
    <mergeCell ref="AE37:AF37"/>
    <mergeCell ref="C36:D36"/>
    <mergeCell ref="E36:N36"/>
    <mergeCell ref="Q36:R36"/>
    <mergeCell ref="S36:AB36"/>
    <mergeCell ref="AE36:AF36"/>
    <mergeCell ref="F42:I42"/>
    <mergeCell ref="J42:P42"/>
    <mergeCell ref="Q42:W42"/>
    <mergeCell ref="X42:AD42"/>
    <mergeCell ref="AI42:AP42"/>
    <mergeCell ref="B43:B44"/>
    <mergeCell ref="C43:E44"/>
    <mergeCell ref="AG37:AP37"/>
    <mergeCell ref="C38:D38"/>
    <mergeCell ref="E38:N38"/>
    <mergeCell ref="Q38:R38"/>
    <mergeCell ref="S38:AB38"/>
    <mergeCell ref="AE42:AH42"/>
    <mergeCell ref="C42:E42"/>
    <mergeCell ref="F43:I44"/>
    <mergeCell ref="J43:P44"/>
    <mergeCell ref="Q43:R44"/>
    <mergeCell ref="V43:W44"/>
    <mergeCell ref="X43:AD44"/>
    <mergeCell ref="AE43:AH44"/>
    <mergeCell ref="AI43:AP44"/>
    <mergeCell ref="AE38:AF38"/>
    <mergeCell ref="AG38:AP38"/>
    <mergeCell ref="C37:D37"/>
    <mergeCell ref="B45:B46"/>
    <mergeCell ref="C45:E46"/>
    <mergeCell ref="V45:W46"/>
    <mergeCell ref="Q45:R46"/>
    <mergeCell ref="J45:P46"/>
    <mergeCell ref="B51:B52"/>
    <mergeCell ref="C51:E52"/>
    <mergeCell ref="F51:I52"/>
    <mergeCell ref="J51:P52"/>
    <mergeCell ref="F45:I46"/>
    <mergeCell ref="B47:B48"/>
    <mergeCell ref="J58:Q58"/>
    <mergeCell ref="R58:Z58"/>
    <mergeCell ref="AI47:AP48"/>
    <mergeCell ref="D59:I59"/>
    <mergeCell ref="J59:Q59"/>
    <mergeCell ref="R59:Z59"/>
    <mergeCell ref="AA59:AC59"/>
    <mergeCell ref="AD59:AM59"/>
    <mergeCell ref="AE55:AH56"/>
    <mergeCell ref="AI55:AP56"/>
    <mergeCell ref="D58:I58"/>
    <mergeCell ref="X51:AD52"/>
    <mergeCell ref="AE51:AH52"/>
    <mergeCell ref="AE47:AH48"/>
    <mergeCell ref="C47:E48"/>
    <mergeCell ref="F47:I48"/>
    <mergeCell ref="J47:P48"/>
    <mergeCell ref="Q47:R48"/>
    <mergeCell ref="V47:W48"/>
    <mergeCell ref="X47:AD48"/>
    <mergeCell ref="C49:E50"/>
    <mergeCell ref="F49:I50"/>
    <mergeCell ref="J49:P50"/>
    <mergeCell ref="Q49:R50"/>
    <mergeCell ref="AE45:AH46"/>
    <mergeCell ref="AI45:AP46"/>
    <mergeCell ref="AA58:AC58"/>
    <mergeCell ref="AD58:AM58"/>
    <mergeCell ref="X53:AD54"/>
    <mergeCell ref="AE53:AH54"/>
    <mergeCell ref="AI53:AP54"/>
    <mergeCell ref="AI51:AP52"/>
    <mergeCell ref="AE49:AH50"/>
    <mergeCell ref="AI49:AP50"/>
    <mergeCell ref="X45:AD46"/>
    <mergeCell ref="X49:AD50"/>
    <mergeCell ref="AD61:AM61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B55:B56"/>
    <mergeCell ref="Q55:R56"/>
    <mergeCell ref="V55:W56"/>
    <mergeCell ref="B49:B50"/>
    <mergeCell ref="Q51:R52"/>
    <mergeCell ref="V51:W52"/>
    <mergeCell ref="X55:AD56"/>
    <mergeCell ref="B53:B54"/>
    <mergeCell ref="C53:E54"/>
    <mergeCell ref="F53:I54"/>
    <mergeCell ref="J53:P54"/>
    <mergeCell ref="Q53:R54"/>
    <mergeCell ref="C55:E56"/>
    <mergeCell ref="F55:I56"/>
    <mergeCell ref="J55:P56"/>
    <mergeCell ref="V53:W54"/>
    <mergeCell ref="V49:W50"/>
  </mergeCells>
  <phoneticPr fontId="16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0" pageOrder="overThenDown" orientation="landscape" horizontalDpi="300" verticalDpi="300" r:id="rId1"/>
  <rowBreaks count="5" manualBreakCount="5">
    <brk id="30" max="42" man="1"/>
    <brk id="62" max="42" man="1"/>
    <brk id="94" max="42" man="1"/>
    <brk id="126" max="42" man="1"/>
    <brk id="158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Y189"/>
  <sheetViews>
    <sheetView zoomScaleNormal="100" zoomScaleSheetLayoutView="75" workbookViewId="0">
      <pane xSplit="47" ySplit="2" topLeftCell="AV3" activePane="bottomRight" state="frozen"/>
      <selection pane="topRight" activeCell="AV1" sqref="AV1"/>
      <selection pane="bottomLeft" activeCell="A3" sqref="A3"/>
      <selection pane="bottomRight" activeCell="AW8" sqref="AW8"/>
    </sheetView>
  </sheetViews>
  <sheetFormatPr defaultRowHeight="15.75" x14ac:dyDescent="0.4"/>
  <cols>
    <col min="1" max="1" width="3.125" style="134" customWidth="1"/>
    <col min="2" max="2" width="5" style="134" customWidth="1"/>
    <col min="3" max="4" width="3.125" style="134" customWidth="1"/>
    <col min="5" max="5" width="4.5" style="134" customWidth="1"/>
    <col min="6" max="43" width="3.125" style="134" customWidth="1"/>
    <col min="44" max="44" width="9.125" style="134" hidden="1" customWidth="1"/>
    <col min="45" max="45" width="7.5" style="134" hidden="1" customWidth="1"/>
    <col min="46" max="47" width="9" style="134" hidden="1" customWidth="1"/>
    <col min="48" max="16384" width="9" style="134"/>
  </cols>
  <sheetData>
    <row r="1" spans="1:45" ht="28.5" customHeight="1" x14ac:dyDescent="0.4">
      <c r="A1" s="476" t="s">
        <v>179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76"/>
      <c r="AG1" s="476"/>
      <c r="AH1" s="476"/>
      <c r="AI1" s="476"/>
      <c r="AJ1" s="476"/>
      <c r="AK1" s="476"/>
      <c r="AL1" s="476"/>
      <c r="AM1" s="476"/>
      <c r="AN1" s="476"/>
      <c r="AO1" s="476"/>
      <c r="AP1" s="476"/>
      <c r="AQ1" s="476"/>
      <c r="AR1" s="274"/>
      <c r="AS1" s="274"/>
    </row>
    <row r="2" spans="1:45" ht="28.5" customHeight="1" x14ac:dyDescent="0.4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274"/>
      <c r="AS2" s="274"/>
    </row>
    <row r="3" spans="1:45" ht="27.75" customHeight="1" x14ac:dyDescent="0.4">
      <c r="C3" s="477" t="s">
        <v>1</v>
      </c>
      <c r="D3" s="477"/>
      <c r="E3" s="477"/>
      <c r="F3" s="477"/>
      <c r="G3" s="478" t="str">
        <f>U10組合せ!I19</f>
        <v>陽南小</v>
      </c>
      <c r="H3" s="479"/>
      <c r="I3" s="479"/>
      <c r="J3" s="479"/>
      <c r="K3" s="479"/>
      <c r="L3" s="479"/>
      <c r="M3" s="479"/>
      <c r="N3" s="479"/>
      <c r="O3" s="480"/>
      <c r="P3" s="477" t="s">
        <v>0</v>
      </c>
      <c r="Q3" s="477"/>
      <c r="R3" s="477"/>
      <c r="S3" s="477"/>
      <c r="T3" s="481" t="str">
        <f ca="1">X14</f>
        <v>緑ヶ丘YFC</v>
      </c>
      <c r="U3" s="481"/>
      <c r="V3" s="481"/>
      <c r="W3" s="481"/>
      <c r="X3" s="481"/>
      <c r="Y3" s="481"/>
      <c r="Z3" s="481"/>
      <c r="AA3" s="481"/>
      <c r="AB3" s="481"/>
      <c r="AC3" s="477" t="s">
        <v>2</v>
      </c>
      <c r="AD3" s="477"/>
      <c r="AE3" s="477"/>
      <c r="AF3" s="477"/>
      <c r="AG3" s="482">
        <f>U10組合せ!B19</f>
        <v>44296</v>
      </c>
      <c r="AH3" s="483"/>
      <c r="AI3" s="483"/>
      <c r="AJ3" s="483"/>
      <c r="AK3" s="483"/>
      <c r="AL3" s="483"/>
      <c r="AM3" s="484" t="str">
        <f>"（"&amp;TEXT(AG3,"aaa")&amp;"）"</f>
        <v>（土）</v>
      </c>
      <c r="AN3" s="484"/>
      <c r="AO3" s="485"/>
    </row>
    <row r="4" spans="1:45" ht="15" customHeight="1" x14ac:dyDescent="0.4">
      <c r="C4" s="134" t="str">
        <f>U10組合せ!I20</f>
        <v>C1234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3"/>
      <c r="X4" s="133"/>
      <c r="Y4" s="133"/>
      <c r="Z4" s="133"/>
      <c r="AA4" s="133"/>
      <c r="AB4" s="133"/>
      <c r="AC4" s="133"/>
    </row>
    <row r="5" spans="1:45" ht="29.25" customHeight="1" x14ac:dyDescent="0.4">
      <c r="C5" s="481">
        <v>1</v>
      </c>
      <c r="D5" s="481"/>
      <c r="E5" s="488" t="str">
        <f>VLOOKUP(C5,U10組合せ!$B$10:$I$17,7,TRUE)</f>
        <v>宇大付属小SSS　U-10</v>
      </c>
      <c r="F5" s="488"/>
      <c r="G5" s="488"/>
      <c r="H5" s="488"/>
      <c r="I5" s="488"/>
      <c r="J5" s="488"/>
      <c r="K5" s="488"/>
      <c r="L5" s="488"/>
      <c r="M5" s="488"/>
      <c r="N5" s="488"/>
      <c r="O5" s="148"/>
      <c r="P5" s="148"/>
      <c r="Q5" s="481">
        <v>4</v>
      </c>
      <c r="R5" s="481"/>
      <c r="S5" s="488" t="str">
        <f>VLOOKUP(Q5,U10組合せ!$B$10:$I$17,7,TRUE)</f>
        <v>緑ヶ丘YFC</v>
      </c>
      <c r="T5" s="488"/>
      <c r="U5" s="488"/>
      <c r="V5" s="488"/>
      <c r="W5" s="488"/>
      <c r="X5" s="488"/>
      <c r="Y5" s="488"/>
      <c r="Z5" s="488"/>
      <c r="AA5" s="488"/>
      <c r="AB5" s="488"/>
      <c r="AC5" s="147"/>
      <c r="AD5" s="132"/>
      <c r="AE5" s="486">
        <v>7</v>
      </c>
      <c r="AF5" s="486"/>
      <c r="AG5" s="487" t="str">
        <f>VLOOKUP(AE5,U10組合せ!$B$10:$I$17,7,TRUE)</f>
        <v>FC　Riso</v>
      </c>
      <c r="AH5" s="487"/>
      <c r="AI5" s="487"/>
      <c r="AJ5" s="487"/>
      <c r="AK5" s="487"/>
      <c r="AL5" s="487"/>
      <c r="AM5" s="487"/>
      <c r="AN5" s="487"/>
      <c r="AO5" s="487"/>
      <c r="AP5" s="487"/>
    </row>
    <row r="6" spans="1:45" ht="29.25" customHeight="1" x14ac:dyDescent="0.4">
      <c r="C6" s="481">
        <v>2</v>
      </c>
      <c r="D6" s="481"/>
      <c r="E6" s="488" t="str">
        <f>VLOOKUP(C6,U10組合せ!$B$10:$I$17,7,TRUE)</f>
        <v>S4スぺランツァ</v>
      </c>
      <c r="F6" s="488"/>
      <c r="G6" s="488"/>
      <c r="H6" s="488"/>
      <c r="I6" s="488"/>
      <c r="J6" s="488"/>
      <c r="K6" s="488"/>
      <c r="L6" s="488"/>
      <c r="M6" s="488"/>
      <c r="N6" s="488"/>
      <c r="O6" s="148"/>
      <c r="P6" s="148"/>
      <c r="Q6" s="486">
        <v>5</v>
      </c>
      <c r="R6" s="486"/>
      <c r="S6" s="487" t="str">
        <f>VLOOKUP(Q6,U10組合せ!$B$10:$I$17,7,TRUE)</f>
        <v>カテット白沢</v>
      </c>
      <c r="T6" s="487"/>
      <c r="U6" s="487"/>
      <c r="V6" s="487"/>
      <c r="W6" s="487"/>
      <c r="X6" s="487"/>
      <c r="Y6" s="487"/>
      <c r="Z6" s="487"/>
      <c r="AA6" s="487"/>
      <c r="AB6" s="487"/>
      <c r="AC6" s="147"/>
      <c r="AD6" s="132"/>
      <c r="AE6" s="486">
        <v>8</v>
      </c>
      <c r="AF6" s="486"/>
      <c r="AG6" s="488"/>
      <c r="AH6" s="488"/>
      <c r="AI6" s="488"/>
      <c r="AJ6" s="488"/>
      <c r="AK6" s="488"/>
      <c r="AL6" s="488"/>
      <c r="AM6" s="488"/>
      <c r="AN6" s="488"/>
      <c r="AO6" s="488"/>
      <c r="AP6" s="488"/>
    </row>
    <row r="7" spans="1:45" ht="29.25" customHeight="1" x14ac:dyDescent="0.4">
      <c r="C7" s="481">
        <v>3</v>
      </c>
      <c r="D7" s="481"/>
      <c r="E7" s="488" t="str">
        <f>VLOOKUP(C7,U10組合せ!$B$10:$I$17,7,TRUE)</f>
        <v>豊郷JFC宇都宮U-10</v>
      </c>
      <c r="F7" s="488"/>
      <c r="G7" s="488"/>
      <c r="H7" s="488"/>
      <c r="I7" s="488"/>
      <c r="J7" s="488"/>
      <c r="K7" s="488"/>
      <c r="L7" s="488"/>
      <c r="M7" s="488"/>
      <c r="N7" s="488"/>
      <c r="O7" s="148"/>
      <c r="P7" s="148"/>
      <c r="Q7" s="486">
        <v>6</v>
      </c>
      <c r="R7" s="486"/>
      <c r="S7" s="487" t="str">
        <f>VLOOKUP(Q7,U10組合せ!$B$10:$I$17,7,TRUE)</f>
        <v>FC みらい</v>
      </c>
      <c r="T7" s="487"/>
      <c r="U7" s="487"/>
      <c r="V7" s="487"/>
      <c r="W7" s="487"/>
      <c r="X7" s="487"/>
      <c r="Y7" s="487"/>
      <c r="Z7" s="487"/>
      <c r="AA7" s="487"/>
      <c r="AB7" s="487"/>
      <c r="AC7" s="147"/>
      <c r="AD7" s="132"/>
      <c r="AE7" s="486">
        <v>9</v>
      </c>
      <c r="AF7" s="486"/>
      <c r="AG7" s="488"/>
      <c r="AH7" s="488"/>
      <c r="AI7" s="488"/>
      <c r="AJ7" s="488"/>
      <c r="AK7" s="488"/>
      <c r="AL7" s="488"/>
      <c r="AM7" s="488"/>
      <c r="AN7" s="488"/>
      <c r="AO7" s="488"/>
      <c r="AP7" s="488"/>
    </row>
    <row r="8" spans="1:45" ht="8.25" customHeight="1" x14ac:dyDescent="0.4">
      <c r="O8" s="138"/>
      <c r="P8" s="138"/>
      <c r="AC8" s="133"/>
    </row>
    <row r="9" spans="1:45" ht="8.25" customHeight="1" x14ac:dyDescent="0.4">
      <c r="C9" s="149"/>
      <c r="D9" s="150"/>
      <c r="E9" s="150"/>
      <c r="F9" s="150"/>
      <c r="G9" s="150"/>
      <c r="H9" s="150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50"/>
      <c r="U9" s="138"/>
      <c r="V9" s="150"/>
      <c r="W9" s="138"/>
      <c r="X9" s="150"/>
      <c r="Y9" s="138"/>
      <c r="Z9" s="150"/>
      <c r="AA9" s="138"/>
      <c r="AB9" s="150"/>
      <c r="AC9" s="150"/>
    </row>
    <row r="10" spans="1:45" ht="21" customHeight="1" x14ac:dyDescent="0.4">
      <c r="B10" s="134" t="s">
        <v>181</v>
      </c>
    </row>
    <row r="11" spans="1:45" ht="20.25" customHeight="1" x14ac:dyDescent="0.4">
      <c r="B11" s="135"/>
      <c r="C11" s="469" t="s">
        <v>3</v>
      </c>
      <c r="D11" s="469"/>
      <c r="E11" s="469"/>
      <c r="F11" s="470" t="s">
        <v>4</v>
      </c>
      <c r="G11" s="470"/>
      <c r="H11" s="470"/>
      <c r="I11" s="470"/>
      <c r="J11" s="469" t="s">
        <v>5</v>
      </c>
      <c r="K11" s="471"/>
      <c r="L11" s="471"/>
      <c r="M11" s="471"/>
      <c r="N11" s="471"/>
      <c r="O11" s="471"/>
      <c r="P11" s="471"/>
      <c r="Q11" s="469" t="s">
        <v>40</v>
      </c>
      <c r="R11" s="469"/>
      <c r="S11" s="469"/>
      <c r="T11" s="469"/>
      <c r="U11" s="469"/>
      <c r="V11" s="469"/>
      <c r="W11" s="469"/>
      <c r="X11" s="469" t="s">
        <v>5</v>
      </c>
      <c r="Y11" s="471"/>
      <c r="Z11" s="471"/>
      <c r="AA11" s="471"/>
      <c r="AB11" s="471"/>
      <c r="AC11" s="471"/>
      <c r="AD11" s="471"/>
      <c r="AE11" s="470" t="s">
        <v>4</v>
      </c>
      <c r="AF11" s="470"/>
      <c r="AG11" s="470"/>
      <c r="AH11" s="470"/>
      <c r="AI11" s="469" t="s">
        <v>7</v>
      </c>
      <c r="AJ11" s="469"/>
      <c r="AK11" s="471"/>
      <c r="AL11" s="471"/>
      <c r="AM11" s="471"/>
      <c r="AN11" s="471"/>
      <c r="AO11" s="471"/>
      <c r="AP11" s="471"/>
    </row>
    <row r="12" spans="1:45" ht="20.100000000000001" customHeight="1" x14ac:dyDescent="0.4">
      <c r="B12" s="442" t="str">
        <f ca="1">DBCS(INDIRECT("U10対戦スケジュール!ｍ"&amp;(ROW())/2+2))</f>
        <v>①</v>
      </c>
      <c r="C12" s="461">
        <f ca="1">INDIRECT("U10対戦スケジュール!ｎ"&amp;(ROW())/2+2)</f>
        <v>0.375</v>
      </c>
      <c r="D12" s="462"/>
      <c r="E12" s="463"/>
      <c r="F12" s="449"/>
      <c r="G12" s="449"/>
      <c r="H12" s="449"/>
      <c r="I12" s="449"/>
      <c r="J12" s="467" t="str">
        <f ca="1">VLOOKUP(AR12,U10組合せ!$B$10:$I$17,7,TRUE)</f>
        <v>宇大付属小SSS　U-10</v>
      </c>
      <c r="K12" s="468"/>
      <c r="L12" s="468"/>
      <c r="M12" s="468"/>
      <c r="N12" s="468"/>
      <c r="O12" s="468"/>
      <c r="P12" s="468"/>
      <c r="Q12" s="446">
        <f>IF(OR(S12="",S13=""),"",S12+S13)</f>
        <v>0</v>
      </c>
      <c r="R12" s="446"/>
      <c r="S12" s="136">
        <v>0</v>
      </c>
      <c r="T12" s="137" t="s">
        <v>8</v>
      </c>
      <c r="U12" s="136">
        <v>6</v>
      </c>
      <c r="V12" s="446">
        <f>IF(OR(U12="",U13=""),"",U12+U13)</f>
        <v>14</v>
      </c>
      <c r="W12" s="446"/>
      <c r="X12" s="467" t="str">
        <f ca="1">VLOOKUP(AS12,U10組合せ!$B$10:$I$17,7,TRUE)</f>
        <v>S4スぺランツァ</v>
      </c>
      <c r="Y12" s="468"/>
      <c r="Z12" s="468"/>
      <c r="AA12" s="468"/>
      <c r="AB12" s="468"/>
      <c r="AC12" s="468"/>
      <c r="AD12" s="468"/>
      <c r="AE12" s="449"/>
      <c r="AF12" s="449"/>
      <c r="AG12" s="449"/>
      <c r="AH12" s="449"/>
      <c r="AI12" s="446" t="str">
        <f ca="1">DBCS(INDIRECT("U10対戦スケジュール!R"&amp;(ROW())/2+2))</f>
        <v>３／４／４／３</v>
      </c>
      <c r="AJ12" s="449" t="str">
        <f t="shared" ref="AJ12:AP18" ca="1" si="0">DBCS(INDIRECT("U10対戦スケジュール!A"&amp;(ROW())/2+2))</f>
        <v>①</v>
      </c>
      <c r="AK12" s="449" t="str">
        <f t="shared" ca="1" si="0"/>
        <v>①</v>
      </c>
      <c r="AL12" s="449" t="str">
        <f t="shared" ca="1" si="0"/>
        <v>①</v>
      </c>
      <c r="AM12" s="449" t="str">
        <f t="shared" ca="1" si="0"/>
        <v>①</v>
      </c>
      <c r="AN12" s="449" t="str">
        <f t="shared" ca="1" si="0"/>
        <v>①</v>
      </c>
      <c r="AO12" s="449" t="str">
        <f t="shared" ca="1" si="0"/>
        <v>①</v>
      </c>
      <c r="AP12" s="449" t="str">
        <f t="shared" ca="1" si="0"/>
        <v>①</v>
      </c>
      <c r="AR12" s="134">
        <f ca="1">VLOOKUP($B12,U10対戦スケジュール!$M$8:$R$11,3,TRUE)</f>
        <v>1</v>
      </c>
      <c r="AS12" s="134">
        <f ca="1">VLOOKUP($B12,U10対戦スケジュール!$M$8:$R$11,5,TRUE)</f>
        <v>2</v>
      </c>
    </row>
    <row r="13" spans="1:45" ht="20.100000000000001" customHeight="1" x14ac:dyDescent="0.4">
      <c r="B13" s="442"/>
      <c r="C13" s="464"/>
      <c r="D13" s="465"/>
      <c r="E13" s="466"/>
      <c r="F13" s="449"/>
      <c r="G13" s="449"/>
      <c r="H13" s="449"/>
      <c r="I13" s="449"/>
      <c r="J13" s="468"/>
      <c r="K13" s="468"/>
      <c r="L13" s="468"/>
      <c r="M13" s="468"/>
      <c r="N13" s="468"/>
      <c r="O13" s="468"/>
      <c r="P13" s="468"/>
      <c r="Q13" s="446"/>
      <c r="R13" s="446"/>
      <c r="S13" s="136">
        <v>0</v>
      </c>
      <c r="T13" s="137" t="s">
        <v>8</v>
      </c>
      <c r="U13" s="136">
        <v>8</v>
      </c>
      <c r="V13" s="446"/>
      <c r="W13" s="446"/>
      <c r="X13" s="468"/>
      <c r="Y13" s="468"/>
      <c r="Z13" s="468"/>
      <c r="AA13" s="468"/>
      <c r="AB13" s="468"/>
      <c r="AC13" s="468"/>
      <c r="AD13" s="468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</row>
    <row r="14" spans="1:45" ht="20.100000000000001" customHeight="1" x14ac:dyDescent="0.4">
      <c r="B14" s="442" t="str">
        <f ca="1">DBCS(INDIRECT("U10対戦スケジュール!ｍ"&amp;(ROW())/2+2))</f>
        <v>②</v>
      </c>
      <c r="C14" s="461">
        <f ca="1">INDIRECT("U10対戦スケジュール!ｎ"&amp;(ROW())/2+2)</f>
        <v>0.40279999999999999</v>
      </c>
      <c r="D14" s="462"/>
      <c r="E14" s="463"/>
      <c r="F14" s="449"/>
      <c r="G14" s="449"/>
      <c r="H14" s="449"/>
      <c r="I14" s="449"/>
      <c r="J14" s="467" t="str">
        <f ca="1">VLOOKUP(AR14,U10組合せ!$B$10:$I$17,7,TRUE)</f>
        <v>豊郷JFC宇都宮U-10</v>
      </c>
      <c r="K14" s="468"/>
      <c r="L14" s="468"/>
      <c r="M14" s="468"/>
      <c r="N14" s="468"/>
      <c r="O14" s="468"/>
      <c r="P14" s="468"/>
      <c r="Q14" s="446">
        <f>IF(OR(S14="",S15=""),"",S14+S15)</f>
        <v>1</v>
      </c>
      <c r="R14" s="446"/>
      <c r="S14" s="136">
        <v>0</v>
      </c>
      <c r="T14" s="137" t="s">
        <v>8</v>
      </c>
      <c r="U14" s="136">
        <v>2</v>
      </c>
      <c r="V14" s="446">
        <f>IF(OR(U14="",U15=""),"",U14+U15)</f>
        <v>4</v>
      </c>
      <c r="W14" s="446"/>
      <c r="X14" s="467" t="str">
        <f ca="1">VLOOKUP(AS14,U10組合せ!$B$10:$I$17,7,TRUE)</f>
        <v>緑ヶ丘YFC</v>
      </c>
      <c r="Y14" s="468"/>
      <c r="Z14" s="468"/>
      <c r="AA14" s="468"/>
      <c r="AB14" s="468"/>
      <c r="AC14" s="468"/>
      <c r="AD14" s="468"/>
      <c r="AE14" s="449"/>
      <c r="AF14" s="449"/>
      <c r="AG14" s="449"/>
      <c r="AH14" s="449"/>
      <c r="AI14" s="446" t="str">
        <f ca="1">DBCS(INDIRECT("U10対戦スケジュール!R"&amp;(ROW())/2+2))</f>
        <v>１／２／２／１</v>
      </c>
      <c r="AJ14" s="449" t="str">
        <f t="shared" ca="1" si="0"/>
        <v>②</v>
      </c>
      <c r="AK14" s="449" t="str">
        <f t="shared" ca="1" si="0"/>
        <v>②</v>
      </c>
      <c r="AL14" s="449" t="str">
        <f t="shared" ca="1" si="0"/>
        <v>②</v>
      </c>
      <c r="AM14" s="449" t="str">
        <f t="shared" ca="1" si="0"/>
        <v>②</v>
      </c>
      <c r="AN14" s="449" t="str">
        <f t="shared" ca="1" si="0"/>
        <v>②</v>
      </c>
      <c r="AO14" s="449" t="str">
        <f t="shared" ca="1" si="0"/>
        <v>②</v>
      </c>
      <c r="AP14" s="449" t="str">
        <f t="shared" ca="1" si="0"/>
        <v>②</v>
      </c>
      <c r="AR14" s="134">
        <f ca="1">VLOOKUP($B14,U10対戦スケジュール!$M$8:$R$11,3,TRUE)</f>
        <v>3</v>
      </c>
      <c r="AS14" s="134">
        <f ca="1">VLOOKUP($B14,U10対戦スケジュール!$M$8:$R$11,5,TRUE)</f>
        <v>4</v>
      </c>
    </row>
    <row r="15" spans="1:45" ht="20.100000000000001" customHeight="1" x14ac:dyDescent="0.4">
      <c r="B15" s="442"/>
      <c r="C15" s="464"/>
      <c r="D15" s="465"/>
      <c r="E15" s="466"/>
      <c r="F15" s="449"/>
      <c r="G15" s="449"/>
      <c r="H15" s="449"/>
      <c r="I15" s="449"/>
      <c r="J15" s="468"/>
      <c r="K15" s="468"/>
      <c r="L15" s="468"/>
      <c r="M15" s="468"/>
      <c r="N15" s="468"/>
      <c r="O15" s="468"/>
      <c r="P15" s="468"/>
      <c r="Q15" s="446"/>
      <c r="R15" s="446"/>
      <c r="S15" s="136">
        <v>1</v>
      </c>
      <c r="T15" s="137" t="s">
        <v>8</v>
      </c>
      <c r="U15" s="136">
        <v>2</v>
      </c>
      <c r="V15" s="446"/>
      <c r="W15" s="446"/>
      <c r="X15" s="468"/>
      <c r="Y15" s="468"/>
      <c r="Z15" s="468"/>
      <c r="AA15" s="468"/>
      <c r="AB15" s="468"/>
      <c r="AC15" s="468"/>
      <c r="AD15" s="468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</row>
    <row r="16" spans="1:45" ht="20.100000000000001" customHeight="1" x14ac:dyDescent="0.4">
      <c r="B16" s="442" t="str">
        <f ca="1">DBCS(INDIRECT("U10対戦スケジュール!ｍ"&amp;(ROW())/2+2))</f>
        <v>③</v>
      </c>
      <c r="C16" s="461">
        <f ca="1">INDIRECT("U10対戦スケジュール!ｎ"&amp;(ROW())/2+2)</f>
        <v>0.43779999999999997</v>
      </c>
      <c r="D16" s="462"/>
      <c r="E16" s="463"/>
      <c r="F16" s="449"/>
      <c r="G16" s="449"/>
      <c r="H16" s="449"/>
      <c r="I16" s="449"/>
      <c r="J16" s="467" t="str">
        <f ca="1">VLOOKUP(AR16,U10組合せ!$B$10:$I$17,7,TRUE)</f>
        <v>宇大付属小SSS　U-10</v>
      </c>
      <c r="K16" s="468"/>
      <c r="L16" s="468"/>
      <c r="M16" s="468"/>
      <c r="N16" s="468"/>
      <c r="O16" s="468"/>
      <c r="P16" s="468"/>
      <c r="Q16" s="446">
        <f>IF(OR(S16="",S17=""),"",S16+S17)</f>
        <v>0</v>
      </c>
      <c r="R16" s="446"/>
      <c r="S16" s="136">
        <v>0</v>
      </c>
      <c r="T16" s="137" t="s">
        <v>8</v>
      </c>
      <c r="U16" s="136">
        <v>0</v>
      </c>
      <c r="V16" s="446">
        <f>IF(OR(U16="",U17=""),"",U16+U17)</f>
        <v>1</v>
      </c>
      <c r="W16" s="446"/>
      <c r="X16" s="467" t="str">
        <f ca="1">VLOOKUP(AS16,U10組合せ!$B$10:$I$17,7,TRUE)</f>
        <v>緑ヶ丘YFC</v>
      </c>
      <c r="Y16" s="468"/>
      <c r="Z16" s="468"/>
      <c r="AA16" s="468"/>
      <c r="AB16" s="468"/>
      <c r="AC16" s="468"/>
      <c r="AD16" s="468"/>
      <c r="AE16" s="449"/>
      <c r="AF16" s="449"/>
      <c r="AG16" s="449"/>
      <c r="AH16" s="449"/>
      <c r="AI16" s="446" t="str">
        <f ca="1">DBCS(INDIRECT("U10対戦スケジュール!R"&amp;(ROW())/2+2))</f>
        <v>２／３／３／２</v>
      </c>
      <c r="AJ16" s="449" t="str">
        <f t="shared" ca="1" si="0"/>
        <v>③</v>
      </c>
      <c r="AK16" s="449" t="str">
        <f t="shared" ca="1" si="0"/>
        <v>③</v>
      </c>
      <c r="AL16" s="449" t="str">
        <f t="shared" ca="1" si="0"/>
        <v>③</v>
      </c>
      <c r="AM16" s="449" t="str">
        <f t="shared" ca="1" si="0"/>
        <v>③</v>
      </c>
      <c r="AN16" s="449" t="str">
        <f t="shared" ca="1" si="0"/>
        <v>③</v>
      </c>
      <c r="AO16" s="449" t="str">
        <f t="shared" ca="1" si="0"/>
        <v>③</v>
      </c>
      <c r="AP16" s="449" t="str">
        <f t="shared" ca="1" si="0"/>
        <v>③</v>
      </c>
      <c r="AR16" s="134">
        <f ca="1">VLOOKUP($B16,U10対戦スケジュール!$M$8:$R$11,3,TRUE)</f>
        <v>1</v>
      </c>
      <c r="AS16" s="134">
        <f ca="1">VLOOKUP($B16,U10対戦スケジュール!$M$8:$R$11,5,TRUE)</f>
        <v>4</v>
      </c>
    </row>
    <row r="17" spans="1:45" ht="20.100000000000001" customHeight="1" x14ac:dyDescent="0.4">
      <c r="B17" s="442"/>
      <c r="C17" s="464"/>
      <c r="D17" s="465"/>
      <c r="E17" s="466"/>
      <c r="F17" s="449"/>
      <c r="G17" s="449"/>
      <c r="H17" s="449"/>
      <c r="I17" s="449"/>
      <c r="J17" s="468"/>
      <c r="K17" s="468"/>
      <c r="L17" s="468"/>
      <c r="M17" s="468"/>
      <c r="N17" s="468"/>
      <c r="O17" s="468"/>
      <c r="P17" s="468"/>
      <c r="Q17" s="446"/>
      <c r="R17" s="446"/>
      <c r="S17" s="136">
        <v>0</v>
      </c>
      <c r="T17" s="137" t="s">
        <v>8</v>
      </c>
      <c r="U17" s="136">
        <v>1</v>
      </c>
      <c r="V17" s="446"/>
      <c r="W17" s="446"/>
      <c r="X17" s="468"/>
      <c r="Y17" s="468"/>
      <c r="Z17" s="468"/>
      <c r="AA17" s="468"/>
      <c r="AB17" s="468"/>
      <c r="AC17" s="468"/>
      <c r="AD17" s="468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</row>
    <row r="18" spans="1:45" ht="20.100000000000001" customHeight="1" x14ac:dyDescent="0.4">
      <c r="B18" s="442" t="str">
        <f ca="1">DBCS(INDIRECT("U10対戦スケジュール!ｍ"&amp;(ROW())/2+2))</f>
        <v>④</v>
      </c>
      <c r="C18" s="461">
        <f ca="1">INDIRECT("U10対戦スケジュール!ｎ"&amp;(ROW())/2+2)</f>
        <v>0.46559999999999996</v>
      </c>
      <c r="D18" s="462"/>
      <c r="E18" s="463"/>
      <c r="F18" s="449"/>
      <c r="G18" s="449"/>
      <c r="H18" s="449"/>
      <c r="I18" s="449"/>
      <c r="J18" s="467" t="str">
        <f ca="1">VLOOKUP(AR18,U10組合せ!$B$10:$I$17,7,TRUE)</f>
        <v>豊郷JFC宇都宮U-10</v>
      </c>
      <c r="K18" s="468"/>
      <c r="L18" s="468"/>
      <c r="M18" s="468"/>
      <c r="N18" s="468"/>
      <c r="O18" s="468"/>
      <c r="P18" s="468"/>
      <c r="Q18" s="446">
        <f>IF(OR(S18="",S19=""),"",S18+S19)</f>
        <v>0</v>
      </c>
      <c r="R18" s="446"/>
      <c r="S18" s="136">
        <v>0</v>
      </c>
      <c r="T18" s="137" t="s">
        <v>8</v>
      </c>
      <c r="U18" s="136">
        <v>1</v>
      </c>
      <c r="V18" s="446">
        <f>IF(OR(U18="",U19=""),"",U18+U19)</f>
        <v>2</v>
      </c>
      <c r="W18" s="446"/>
      <c r="X18" s="467" t="str">
        <f ca="1">VLOOKUP(AS18,U10組合せ!$B$10:$I$17,7,TRUE)</f>
        <v>S4スぺランツァ</v>
      </c>
      <c r="Y18" s="468"/>
      <c r="Z18" s="468"/>
      <c r="AA18" s="468"/>
      <c r="AB18" s="468"/>
      <c r="AC18" s="468"/>
      <c r="AD18" s="468"/>
      <c r="AE18" s="449"/>
      <c r="AF18" s="449"/>
      <c r="AG18" s="449"/>
      <c r="AH18" s="449"/>
      <c r="AI18" s="446" t="str">
        <f ca="1">DBCS(INDIRECT("U10対戦スケジュール!R"&amp;(ROW())/2+2))</f>
        <v>４／１／１／４</v>
      </c>
      <c r="AJ18" s="449" t="str">
        <f t="shared" ca="1" si="0"/>
        <v>④</v>
      </c>
      <c r="AK18" s="449" t="str">
        <f t="shared" ca="1" si="0"/>
        <v>④</v>
      </c>
      <c r="AL18" s="449" t="str">
        <f t="shared" ca="1" si="0"/>
        <v>④</v>
      </c>
      <c r="AM18" s="449" t="str">
        <f t="shared" ca="1" si="0"/>
        <v>④</v>
      </c>
      <c r="AN18" s="449" t="str">
        <f t="shared" ca="1" si="0"/>
        <v>④</v>
      </c>
      <c r="AO18" s="449" t="str">
        <f t="shared" ca="1" si="0"/>
        <v>④</v>
      </c>
      <c r="AP18" s="449" t="str">
        <f t="shared" ca="1" si="0"/>
        <v>④</v>
      </c>
      <c r="AR18" s="134">
        <f ca="1">VLOOKUP($B18,U10対戦スケジュール!$M$8:$R$11,3,TRUE)</f>
        <v>3</v>
      </c>
      <c r="AS18" s="134">
        <f ca="1">VLOOKUP($B18,U10対戦スケジュール!$M$8:$R$11,5,TRUE)</f>
        <v>2</v>
      </c>
    </row>
    <row r="19" spans="1:45" ht="20.100000000000001" customHeight="1" x14ac:dyDescent="0.4">
      <c r="B19" s="442"/>
      <c r="C19" s="464"/>
      <c r="D19" s="465"/>
      <c r="E19" s="466"/>
      <c r="F19" s="449"/>
      <c r="G19" s="449"/>
      <c r="H19" s="449"/>
      <c r="I19" s="449"/>
      <c r="J19" s="468"/>
      <c r="K19" s="468"/>
      <c r="L19" s="468"/>
      <c r="M19" s="468"/>
      <c r="N19" s="468"/>
      <c r="O19" s="468"/>
      <c r="P19" s="468"/>
      <c r="Q19" s="446"/>
      <c r="R19" s="446"/>
      <c r="S19" s="136">
        <v>0</v>
      </c>
      <c r="T19" s="137" t="s">
        <v>8</v>
      </c>
      <c r="U19" s="136">
        <v>1</v>
      </c>
      <c r="V19" s="446"/>
      <c r="W19" s="446"/>
      <c r="X19" s="468"/>
      <c r="Y19" s="468"/>
      <c r="Z19" s="468"/>
      <c r="AA19" s="468"/>
      <c r="AB19" s="468"/>
      <c r="AC19" s="468"/>
      <c r="AD19" s="468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49"/>
    </row>
    <row r="20" spans="1:45" ht="20.100000000000001" customHeight="1" x14ac:dyDescent="0.4">
      <c r="B20" s="442" t="str">
        <f ca="1">DBCS(INDIRECT("U10対戦スケジュール!A"&amp;(ROW())/2+2))</f>
        <v/>
      </c>
      <c r="C20" s="450"/>
      <c r="D20" s="450"/>
      <c r="E20" s="450"/>
      <c r="F20" s="449"/>
      <c r="G20" s="449"/>
      <c r="H20" s="449"/>
      <c r="I20" s="449"/>
      <c r="J20" s="447"/>
      <c r="K20" s="448"/>
      <c r="L20" s="448"/>
      <c r="M20" s="448"/>
      <c r="N20" s="448"/>
      <c r="O20" s="448"/>
      <c r="P20" s="448"/>
      <c r="Q20" s="446"/>
      <c r="R20" s="446"/>
      <c r="S20" s="136"/>
      <c r="T20" s="137"/>
      <c r="U20" s="136"/>
      <c r="V20" s="446"/>
      <c r="W20" s="446"/>
      <c r="X20" s="447"/>
      <c r="Y20" s="448"/>
      <c r="Z20" s="448"/>
      <c r="AA20" s="448"/>
      <c r="AB20" s="448"/>
      <c r="AC20" s="448"/>
      <c r="AD20" s="448"/>
      <c r="AE20" s="449"/>
      <c r="AF20" s="449"/>
      <c r="AG20" s="449"/>
      <c r="AH20" s="449"/>
      <c r="AI20" s="446"/>
      <c r="AJ20" s="449"/>
      <c r="AK20" s="449"/>
      <c r="AL20" s="449"/>
      <c r="AM20" s="449"/>
      <c r="AN20" s="449"/>
      <c r="AO20" s="449"/>
      <c r="AP20" s="449"/>
    </row>
    <row r="21" spans="1:45" ht="20.100000000000001" customHeight="1" x14ac:dyDescent="0.4">
      <c r="B21" s="442"/>
      <c r="C21" s="450"/>
      <c r="D21" s="450"/>
      <c r="E21" s="450"/>
      <c r="F21" s="449"/>
      <c r="G21" s="449"/>
      <c r="H21" s="449"/>
      <c r="I21" s="449"/>
      <c r="J21" s="448"/>
      <c r="K21" s="448"/>
      <c r="L21" s="448"/>
      <c r="M21" s="448"/>
      <c r="N21" s="448"/>
      <c r="O21" s="448"/>
      <c r="P21" s="448"/>
      <c r="Q21" s="446"/>
      <c r="R21" s="446"/>
      <c r="S21" s="136"/>
      <c r="T21" s="137"/>
      <c r="U21" s="136"/>
      <c r="V21" s="446"/>
      <c r="W21" s="446"/>
      <c r="X21" s="448"/>
      <c r="Y21" s="448"/>
      <c r="Z21" s="448"/>
      <c r="AA21" s="448"/>
      <c r="AB21" s="448"/>
      <c r="AC21" s="448"/>
      <c r="AD21" s="448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49"/>
    </row>
    <row r="22" spans="1:45" ht="20.100000000000001" customHeight="1" x14ac:dyDescent="0.4">
      <c r="B22" s="442"/>
      <c r="C22" s="450"/>
      <c r="D22" s="450"/>
      <c r="E22" s="450"/>
      <c r="F22" s="449"/>
      <c r="G22" s="449"/>
      <c r="H22" s="449"/>
      <c r="I22" s="449"/>
      <c r="J22" s="447"/>
      <c r="K22" s="448"/>
      <c r="L22" s="448"/>
      <c r="M22" s="448"/>
      <c r="N22" s="448"/>
      <c r="O22" s="448"/>
      <c r="P22" s="448"/>
      <c r="Q22" s="446"/>
      <c r="R22" s="446"/>
      <c r="S22" s="136"/>
      <c r="T22" s="137"/>
      <c r="U22" s="136"/>
      <c r="V22" s="446"/>
      <c r="W22" s="446"/>
      <c r="X22" s="447"/>
      <c r="Y22" s="448"/>
      <c r="Z22" s="448"/>
      <c r="AA22" s="448"/>
      <c r="AB22" s="448"/>
      <c r="AC22" s="448"/>
      <c r="AD22" s="448"/>
      <c r="AE22" s="449"/>
      <c r="AF22" s="449"/>
      <c r="AG22" s="449"/>
      <c r="AH22" s="449"/>
      <c r="AI22" s="446"/>
      <c r="AJ22" s="449"/>
      <c r="AK22" s="449"/>
      <c r="AL22" s="449"/>
      <c r="AM22" s="449"/>
      <c r="AN22" s="449"/>
      <c r="AO22" s="449"/>
      <c r="AP22" s="449"/>
    </row>
    <row r="23" spans="1:45" ht="20.100000000000001" customHeight="1" x14ac:dyDescent="0.4">
      <c r="B23" s="442"/>
      <c r="C23" s="450"/>
      <c r="D23" s="450"/>
      <c r="E23" s="450"/>
      <c r="F23" s="449"/>
      <c r="G23" s="449"/>
      <c r="H23" s="449"/>
      <c r="I23" s="449"/>
      <c r="J23" s="448"/>
      <c r="K23" s="448"/>
      <c r="L23" s="448"/>
      <c r="M23" s="448"/>
      <c r="N23" s="448"/>
      <c r="O23" s="448"/>
      <c r="P23" s="448"/>
      <c r="Q23" s="446"/>
      <c r="R23" s="446"/>
      <c r="S23" s="136"/>
      <c r="T23" s="137"/>
      <c r="U23" s="136"/>
      <c r="V23" s="446"/>
      <c r="W23" s="446"/>
      <c r="X23" s="448"/>
      <c r="Y23" s="448"/>
      <c r="Z23" s="448"/>
      <c r="AA23" s="448"/>
      <c r="AB23" s="448"/>
      <c r="AC23" s="448"/>
      <c r="AD23" s="448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49"/>
    </row>
    <row r="24" spans="1:45" ht="20.100000000000001" customHeight="1" x14ac:dyDescent="0.4">
      <c r="B24" s="442"/>
      <c r="C24" s="450"/>
      <c r="D24" s="450"/>
      <c r="E24" s="450"/>
      <c r="F24" s="449"/>
      <c r="G24" s="449"/>
      <c r="H24" s="449"/>
      <c r="I24" s="449"/>
      <c r="J24" s="447"/>
      <c r="K24" s="448"/>
      <c r="L24" s="448"/>
      <c r="M24" s="448"/>
      <c r="N24" s="448"/>
      <c r="O24" s="448"/>
      <c r="P24" s="448"/>
      <c r="Q24" s="446"/>
      <c r="R24" s="446"/>
      <c r="S24" s="136"/>
      <c r="T24" s="137"/>
      <c r="U24" s="136"/>
      <c r="V24" s="446"/>
      <c r="W24" s="446"/>
      <c r="X24" s="447"/>
      <c r="Y24" s="448"/>
      <c r="Z24" s="448"/>
      <c r="AA24" s="448"/>
      <c r="AB24" s="448"/>
      <c r="AC24" s="448"/>
      <c r="AD24" s="448"/>
      <c r="AE24" s="449"/>
      <c r="AF24" s="449"/>
      <c r="AG24" s="449"/>
      <c r="AH24" s="449"/>
      <c r="AI24" s="446"/>
      <c r="AJ24" s="449"/>
      <c r="AK24" s="449"/>
      <c r="AL24" s="449"/>
      <c r="AM24" s="449"/>
      <c r="AN24" s="449"/>
      <c r="AO24" s="449"/>
      <c r="AP24" s="449"/>
    </row>
    <row r="25" spans="1:45" ht="20.100000000000001" customHeight="1" x14ac:dyDescent="0.4">
      <c r="B25" s="442"/>
      <c r="C25" s="450"/>
      <c r="D25" s="450"/>
      <c r="E25" s="450"/>
      <c r="F25" s="449"/>
      <c r="G25" s="449"/>
      <c r="H25" s="449"/>
      <c r="I25" s="449"/>
      <c r="J25" s="448"/>
      <c r="K25" s="448"/>
      <c r="L25" s="448"/>
      <c r="M25" s="448"/>
      <c r="N25" s="448"/>
      <c r="O25" s="448"/>
      <c r="P25" s="448"/>
      <c r="Q25" s="446"/>
      <c r="R25" s="446"/>
      <c r="S25" s="136"/>
      <c r="T25" s="137"/>
      <c r="U25" s="136"/>
      <c r="V25" s="446"/>
      <c r="W25" s="446"/>
      <c r="X25" s="448"/>
      <c r="Y25" s="448"/>
      <c r="Z25" s="448"/>
      <c r="AA25" s="448"/>
      <c r="AB25" s="448"/>
      <c r="AC25" s="448"/>
      <c r="AD25" s="448"/>
      <c r="AE25" s="449"/>
      <c r="AF25" s="449"/>
      <c r="AG25" s="449"/>
      <c r="AH25" s="449"/>
      <c r="AI25" s="449"/>
      <c r="AJ25" s="449"/>
      <c r="AK25" s="449"/>
      <c r="AL25" s="449"/>
      <c r="AM25" s="449"/>
      <c r="AN25" s="449"/>
      <c r="AO25" s="449"/>
      <c r="AP25" s="449"/>
    </row>
    <row r="26" spans="1:45" ht="15.75" customHeight="1" x14ac:dyDescent="0.4">
      <c r="A26" s="138"/>
      <c r="B26" s="139"/>
      <c r="C26" s="140"/>
      <c r="D26" s="140"/>
      <c r="E26" s="140"/>
      <c r="F26" s="139"/>
      <c r="G26" s="139"/>
      <c r="H26" s="139"/>
      <c r="I26" s="139"/>
      <c r="J26" s="139"/>
      <c r="K26" s="141"/>
      <c r="L26" s="141"/>
      <c r="M26" s="142"/>
      <c r="N26" s="143"/>
      <c r="O26" s="142"/>
      <c r="P26" s="141"/>
      <c r="Q26" s="141"/>
      <c r="R26" s="139"/>
      <c r="S26" s="139"/>
      <c r="T26" s="139"/>
      <c r="U26" s="139"/>
      <c r="V26" s="139"/>
      <c r="W26" s="144"/>
      <c r="X26" s="144"/>
      <c r="Y26" s="144"/>
      <c r="Z26" s="144"/>
      <c r="AA26" s="144"/>
      <c r="AB26" s="144"/>
      <c r="AC26" s="138"/>
    </row>
    <row r="27" spans="1:45" ht="20.25" customHeight="1" x14ac:dyDescent="0.4">
      <c r="D27" s="442" t="s">
        <v>9</v>
      </c>
      <c r="E27" s="442"/>
      <c r="F27" s="442"/>
      <c r="G27" s="442"/>
      <c r="H27" s="442"/>
      <c r="I27" s="442"/>
      <c r="J27" s="442" t="s">
        <v>5</v>
      </c>
      <c r="K27" s="442"/>
      <c r="L27" s="442"/>
      <c r="M27" s="442"/>
      <c r="N27" s="442"/>
      <c r="O27" s="442"/>
      <c r="P27" s="442"/>
      <c r="Q27" s="442"/>
      <c r="R27" s="443" t="s">
        <v>10</v>
      </c>
      <c r="S27" s="443"/>
      <c r="T27" s="443"/>
      <c r="U27" s="443"/>
      <c r="V27" s="443"/>
      <c r="W27" s="443"/>
      <c r="X27" s="443"/>
      <c r="Y27" s="443"/>
      <c r="Z27" s="443"/>
      <c r="AA27" s="444" t="s">
        <v>11</v>
      </c>
      <c r="AB27" s="444"/>
      <c r="AC27" s="444"/>
      <c r="AD27" s="444" t="s">
        <v>12</v>
      </c>
      <c r="AE27" s="444"/>
      <c r="AF27" s="444"/>
      <c r="AG27" s="444"/>
      <c r="AH27" s="444"/>
      <c r="AI27" s="444"/>
      <c r="AJ27" s="444"/>
      <c r="AK27" s="444"/>
      <c r="AL27" s="444"/>
      <c r="AM27" s="444"/>
    </row>
    <row r="28" spans="1:45" ht="30" customHeight="1" x14ac:dyDescent="0.4">
      <c r="D28" s="442" t="s">
        <v>13</v>
      </c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3"/>
      <c r="S28" s="443"/>
      <c r="T28" s="443"/>
      <c r="U28" s="443"/>
      <c r="V28" s="443"/>
      <c r="W28" s="443"/>
      <c r="X28" s="443"/>
      <c r="Y28" s="443"/>
      <c r="Z28" s="443"/>
      <c r="AA28" s="445"/>
      <c r="AB28" s="445"/>
      <c r="AC28" s="445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</row>
    <row r="29" spans="1:45" ht="30" customHeight="1" x14ac:dyDescent="0.4">
      <c r="D29" s="442" t="s">
        <v>13</v>
      </c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3"/>
      <c r="S29" s="443"/>
      <c r="T29" s="443"/>
      <c r="U29" s="443"/>
      <c r="V29" s="443"/>
      <c r="W29" s="443"/>
      <c r="X29" s="443"/>
      <c r="Y29" s="443"/>
      <c r="Z29" s="443"/>
      <c r="AA29" s="444"/>
      <c r="AB29" s="444"/>
      <c r="AC29" s="444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</row>
    <row r="30" spans="1:45" ht="30" customHeight="1" x14ac:dyDescent="0.4">
      <c r="D30" s="442" t="s">
        <v>13</v>
      </c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443"/>
      <c r="T30" s="443"/>
      <c r="U30" s="443"/>
      <c r="V30" s="443"/>
      <c r="W30" s="443"/>
      <c r="X30" s="443"/>
      <c r="Y30" s="443"/>
      <c r="Z30" s="443"/>
      <c r="AA30" s="444"/>
      <c r="AB30" s="444"/>
      <c r="AC30" s="444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</row>
    <row r="31" spans="1:45" ht="14.25" customHeight="1" x14ac:dyDescent="0.4">
      <c r="A31" s="476" t="s">
        <v>185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274"/>
      <c r="AS31" s="274"/>
    </row>
    <row r="32" spans="1:45" ht="14.25" customHeight="1" x14ac:dyDescent="0.4">
      <c r="A32" s="476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6"/>
      <c r="AP32" s="476"/>
      <c r="AQ32" s="476"/>
      <c r="AR32" s="274"/>
      <c r="AS32" s="274"/>
    </row>
    <row r="33" spans="1:51" ht="14.25" customHeight="1" x14ac:dyDescent="0.4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</row>
    <row r="34" spans="1:51" ht="27.75" customHeight="1" x14ac:dyDescent="0.4">
      <c r="C34" s="477" t="s">
        <v>1</v>
      </c>
      <c r="D34" s="477"/>
      <c r="E34" s="477"/>
      <c r="F34" s="477"/>
      <c r="G34" s="478" t="str">
        <f>U10組合せ!I21</f>
        <v>石井 6 PM</v>
      </c>
      <c r="H34" s="479">
        <f>U10組合せ!N21</f>
        <v>0</v>
      </c>
      <c r="I34" s="479">
        <f>U10組合せ!O21</f>
        <v>0</v>
      </c>
      <c r="J34" s="479">
        <f>U10組合せ!P21</f>
        <v>0</v>
      </c>
      <c r="K34" s="479">
        <f>U10組合せ!Q21</f>
        <v>0</v>
      </c>
      <c r="L34" s="479">
        <f>U10組合せ!R21</f>
        <v>0</v>
      </c>
      <c r="M34" s="479">
        <f>U10組合せ!S21</f>
        <v>0</v>
      </c>
      <c r="N34" s="479">
        <f>U10組合せ!T21</f>
        <v>0</v>
      </c>
      <c r="O34" s="480">
        <f>U10組合せ!U21</f>
        <v>0</v>
      </c>
      <c r="P34" s="477" t="s">
        <v>0</v>
      </c>
      <c r="Q34" s="477"/>
      <c r="R34" s="477"/>
      <c r="S34" s="477"/>
      <c r="T34" s="481" t="str">
        <f>S37</f>
        <v>カテット白沢</v>
      </c>
      <c r="U34" s="481"/>
      <c r="V34" s="481"/>
      <c r="W34" s="481"/>
      <c r="X34" s="481"/>
      <c r="Y34" s="481"/>
      <c r="Z34" s="481"/>
      <c r="AA34" s="481"/>
      <c r="AB34" s="481"/>
      <c r="AC34" s="477" t="s">
        <v>2</v>
      </c>
      <c r="AD34" s="477"/>
      <c r="AE34" s="477"/>
      <c r="AF34" s="477"/>
      <c r="AG34" s="482">
        <f>U10組合せ!B19</f>
        <v>44296</v>
      </c>
      <c r="AH34" s="483"/>
      <c r="AI34" s="483"/>
      <c r="AJ34" s="483"/>
      <c r="AK34" s="483"/>
      <c r="AL34" s="483"/>
      <c r="AM34" s="484" t="str">
        <f>"（"&amp;TEXT(AG34,"aaa")&amp;"）"</f>
        <v>（土）</v>
      </c>
      <c r="AN34" s="484"/>
      <c r="AO34" s="485"/>
    </row>
    <row r="35" spans="1:51" ht="15" customHeight="1" x14ac:dyDescent="0.4">
      <c r="C35" s="134" t="str">
        <f>U10組合せ!I22</f>
        <v>C567</v>
      </c>
      <c r="D35" s="138"/>
      <c r="E35" s="138"/>
      <c r="F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3"/>
      <c r="X35" s="133"/>
      <c r="Y35" s="133"/>
      <c r="Z35" s="133"/>
      <c r="AA35" s="133"/>
      <c r="AB35" s="133"/>
      <c r="AC35" s="133"/>
    </row>
    <row r="36" spans="1:51" ht="29.25" customHeight="1" x14ac:dyDescent="0.4">
      <c r="C36" s="486">
        <v>1</v>
      </c>
      <c r="D36" s="486"/>
      <c r="E36" s="487" t="str">
        <f>VLOOKUP(C36,U10組合せ!$B$10:$I$17,7,TRUE)</f>
        <v>宇大付属小SSS　U-10</v>
      </c>
      <c r="F36" s="487"/>
      <c r="G36" s="487"/>
      <c r="H36" s="487"/>
      <c r="I36" s="487"/>
      <c r="J36" s="487"/>
      <c r="K36" s="487"/>
      <c r="L36" s="487"/>
      <c r="M36" s="487"/>
      <c r="N36" s="487"/>
      <c r="O36" s="148"/>
      <c r="P36" s="148"/>
      <c r="Q36" s="486">
        <v>4</v>
      </c>
      <c r="R36" s="486"/>
      <c r="S36" s="487" t="str">
        <f>VLOOKUP(Q36,U10組合せ!$B$10:$I$17,7,TRUE)</f>
        <v>緑ヶ丘YFC</v>
      </c>
      <c r="T36" s="487"/>
      <c r="U36" s="487"/>
      <c r="V36" s="487"/>
      <c r="W36" s="487"/>
      <c r="X36" s="487"/>
      <c r="Y36" s="487"/>
      <c r="Z36" s="487"/>
      <c r="AA36" s="487"/>
      <c r="AB36" s="487"/>
      <c r="AC36" s="131"/>
      <c r="AD36" s="132"/>
      <c r="AE36" s="481">
        <v>7</v>
      </c>
      <c r="AF36" s="481"/>
      <c r="AG36" s="488" t="str">
        <f>VLOOKUP(AE36,U10組合せ!$B$10:$I$17,7,TRUE)</f>
        <v>FC　Riso</v>
      </c>
      <c r="AH36" s="488"/>
      <c r="AI36" s="488"/>
      <c r="AJ36" s="488"/>
      <c r="AK36" s="488"/>
      <c r="AL36" s="488"/>
      <c r="AM36" s="488"/>
      <c r="AN36" s="488"/>
      <c r="AO36" s="488"/>
      <c r="AP36" s="488"/>
    </row>
    <row r="37" spans="1:51" ht="29.25" customHeight="1" x14ac:dyDescent="0.4">
      <c r="C37" s="486">
        <v>2</v>
      </c>
      <c r="D37" s="486"/>
      <c r="E37" s="487" t="str">
        <f>VLOOKUP(C37,U10組合せ!$B$10:$I$17,7,TRUE)</f>
        <v>S4スぺランツァ</v>
      </c>
      <c r="F37" s="487"/>
      <c r="G37" s="487"/>
      <c r="H37" s="487"/>
      <c r="I37" s="487"/>
      <c r="J37" s="487"/>
      <c r="K37" s="487"/>
      <c r="L37" s="487"/>
      <c r="M37" s="487"/>
      <c r="N37" s="487"/>
      <c r="O37" s="148"/>
      <c r="P37" s="148"/>
      <c r="Q37" s="481">
        <v>5</v>
      </c>
      <c r="R37" s="481"/>
      <c r="S37" s="488" t="str">
        <f>VLOOKUP(Q37,U10組合せ!$B$10:$I$17,7,TRUE)</f>
        <v>カテット白沢</v>
      </c>
      <c r="T37" s="488"/>
      <c r="U37" s="488"/>
      <c r="V37" s="488"/>
      <c r="W37" s="488"/>
      <c r="X37" s="488"/>
      <c r="Y37" s="488"/>
      <c r="Z37" s="488"/>
      <c r="AA37" s="488"/>
      <c r="AB37" s="488"/>
      <c r="AC37" s="131"/>
      <c r="AD37" s="132"/>
      <c r="AE37" s="486"/>
      <c r="AF37" s="486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</row>
    <row r="38" spans="1:51" ht="29.25" customHeight="1" x14ac:dyDescent="0.4">
      <c r="C38" s="486">
        <v>3</v>
      </c>
      <c r="D38" s="486"/>
      <c r="E38" s="487" t="str">
        <f>VLOOKUP(C38,U10組合せ!$B$10:$I$17,7,TRUE)</f>
        <v>豊郷JFC宇都宮U-10</v>
      </c>
      <c r="F38" s="487"/>
      <c r="G38" s="487"/>
      <c r="H38" s="487"/>
      <c r="I38" s="487"/>
      <c r="J38" s="487"/>
      <c r="K38" s="487"/>
      <c r="L38" s="487"/>
      <c r="M38" s="487"/>
      <c r="N38" s="487"/>
      <c r="O38" s="148"/>
      <c r="P38" s="148"/>
      <c r="Q38" s="481">
        <v>6</v>
      </c>
      <c r="R38" s="481"/>
      <c r="S38" s="488" t="str">
        <f>VLOOKUP(Q38,U10組合せ!$B$10:$I$17,7,TRUE)</f>
        <v>FC みらい</v>
      </c>
      <c r="T38" s="488"/>
      <c r="U38" s="488"/>
      <c r="V38" s="488"/>
      <c r="W38" s="488"/>
      <c r="X38" s="488"/>
      <c r="Y38" s="488"/>
      <c r="Z38" s="488"/>
      <c r="AA38" s="488"/>
      <c r="AB38" s="488"/>
      <c r="AC38" s="131"/>
      <c r="AD38" s="132"/>
      <c r="AE38" s="486"/>
      <c r="AF38" s="486"/>
      <c r="AG38" s="487"/>
      <c r="AH38" s="487"/>
      <c r="AI38" s="487"/>
      <c r="AJ38" s="487"/>
      <c r="AK38" s="487"/>
      <c r="AL38" s="487"/>
      <c r="AM38" s="487"/>
      <c r="AN38" s="487"/>
      <c r="AO38" s="487"/>
      <c r="AP38" s="487"/>
    </row>
    <row r="39" spans="1:51" ht="6.75" customHeight="1" x14ac:dyDescent="0.4">
      <c r="O39" s="138"/>
      <c r="P39" s="138"/>
      <c r="AC39" s="133"/>
    </row>
    <row r="40" spans="1:51" ht="6.75" customHeight="1" x14ac:dyDescent="0.4">
      <c r="C40" s="149"/>
      <c r="D40" s="150"/>
      <c r="E40" s="150"/>
      <c r="F40" s="150"/>
      <c r="G40" s="150"/>
      <c r="H40" s="150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50"/>
      <c r="U40" s="138"/>
      <c r="V40" s="150"/>
      <c r="W40" s="138"/>
      <c r="X40" s="150"/>
      <c r="Y40" s="138"/>
      <c r="Z40" s="150"/>
      <c r="AA40" s="138"/>
      <c r="AB40" s="150"/>
      <c r="AC40" s="150"/>
    </row>
    <row r="41" spans="1:51" ht="21" customHeight="1" x14ac:dyDescent="0.4">
      <c r="B41" s="134" t="s">
        <v>186</v>
      </c>
    </row>
    <row r="42" spans="1:51" ht="20.25" customHeight="1" x14ac:dyDescent="0.4">
      <c r="B42" s="135"/>
      <c r="C42" s="469" t="s">
        <v>3</v>
      </c>
      <c r="D42" s="469"/>
      <c r="E42" s="469"/>
      <c r="F42" s="470" t="s">
        <v>4</v>
      </c>
      <c r="G42" s="470"/>
      <c r="H42" s="470"/>
      <c r="I42" s="470"/>
      <c r="J42" s="469" t="s">
        <v>5</v>
      </c>
      <c r="K42" s="471"/>
      <c r="L42" s="471"/>
      <c r="M42" s="471"/>
      <c r="N42" s="471"/>
      <c r="O42" s="471"/>
      <c r="P42" s="471"/>
      <c r="Q42" s="469" t="s">
        <v>40</v>
      </c>
      <c r="R42" s="469"/>
      <c r="S42" s="469"/>
      <c r="T42" s="469"/>
      <c r="U42" s="469"/>
      <c r="V42" s="469"/>
      <c r="W42" s="469"/>
      <c r="X42" s="469" t="s">
        <v>5</v>
      </c>
      <c r="Y42" s="471"/>
      <c r="Z42" s="471"/>
      <c r="AA42" s="471"/>
      <c r="AB42" s="471"/>
      <c r="AC42" s="471"/>
      <c r="AD42" s="471"/>
      <c r="AE42" s="470" t="s">
        <v>4</v>
      </c>
      <c r="AF42" s="470"/>
      <c r="AG42" s="470"/>
      <c r="AH42" s="470"/>
      <c r="AI42" s="469" t="s">
        <v>7</v>
      </c>
      <c r="AJ42" s="469"/>
      <c r="AK42" s="471"/>
      <c r="AL42" s="471"/>
      <c r="AM42" s="471"/>
      <c r="AN42" s="471"/>
      <c r="AO42" s="471"/>
      <c r="AP42" s="471"/>
    </row>
    <row r="43" spans="1:51" ht="20.100000000000001" customHeight="1" x14ac:dyDescent="0.4">
      <c r="B43" s="442" t="str">
        <f ca="1">DBCS(INDIRECT("U10対戦スケジュール!ｍ"&amp;(ROW()-1)/2-5))</f>
        <v>⑤</v>
      </c>
      <c r="C43" s="461">
        <f ca="1">INDIRECT("U10対戦スケジュール!ｎ"&amp;(ROW()-1)/2-5)</f>
        <v>0.5625</v>
      </c>
      <c r="D43" s="462"/>
      <c r="E43" s="463"/>
      <c r="F43" s="449"/>
      <c r="G43" s="449"/>
      <c r="H43" s="449"/>
      <c r="I43" s="449"/>
      <c r="J43" s="467" t="str">
        <f ca="1">VLOOKUP(AR43,U10組合せ!$B$10:$I$17,7,TRUE)</f>
        <v>カテット白沢</v>
      </c>
      <c r="K43" s="468"/>
      <c r="L43" s="468"/>
      <c r="M43" s="468"/>
      <c r="N43" s="468"/>
      <c r="O43" s="468"/>
      <c r="P43" s="468"/>
      <c r="Q43" s="446">
        <f>IF(OR(S43="",S44=""),"",S43+S44)</f>
        <v>0</v>
      </c>
      <c r="R43" s="446"/>
      <c r="S43" s="136">
        <v>0</v>
      </c>
      <c r="T43" s="137" t="s">
        <v>8</v>
      </c>
      <c r="U43" s="136">
        <v>0</v>
      </c>
      <c r="V43" s="446">
        <f>IF(OR(U43="",U44=""),"",U43+U44)</f>
        <v>0</v>
      </c>
      <c r="W43" s="446"/>
      <c r="X43" s="467" t="str">
        <f ca="1">VLOOKUP(AS43,U10組合せ!$B$10:$I$17,7,TRUE)</f>
        <v>FC みらい</v>
      </c>
      <c r="Y43" s="468"/>
      <c r="Z43" s="468"/>
      <c r="AA43" s="468"/>
      <c r="AB43" s="468"/>
      <c r="AC43" s="468"/>
      <c r="AD43" s="468"/>
      <c r="AE43" s="449"/>
      <c r="AF43" s="449"/>
      <c r="AG43" s="449"/>
      <c r="AH43" s="449"/>
      <c r="AI43" s="498" t="str">
        <f ca="1">DBCS(INDIRECT("U10対戦スケジュール!R"&amp;(ROW()-1)/2-5))</f>
        <v>７／５／６／７</v>
      </c>
      <c r="AJ43" s="508" t="e">
        <f t="shared" ref="AJ43:AP47" ca="1" si="1">DBCS(INDIRECT("U10対戦スケジュール!A"&amp;(ROW())/2+2))</f>
        <v>#REF!</v>
      </c>
      <c r="AK43" s="508" t="e">
        <f t="shared" ca="1" si="1"/>
        <v>#REF!</v>
      </c>
      <c r="AL43" s="508" t="e">
        <f t="shared" ca="1" si="1"/>
        <v>#REF!</v>
      </c>
      <c r="AM43" s="508" t="e">
        <f t="shared" ca="1" si="1"/>
        <v>#REF!</v>
      </c>
      <c r="AN43" s="508" t="e">
        <f t="shared" ca="1" si="1"/>
        <v>#REF!</v>
      </c>
      <c r="AO43" s="508" t="e">
        <f t="shared" ca="1" si="1"/>
        <v>#REF!</v>
      </c>
      <c r="AP43" s="499" t="e">
        <f t="shared" ca="1" si="1"/>
        <v>#REF!</v>
      </c>
      <c r="AR43" s="134">
        <f ca="1">VLOOKUP($B43,U10対戦スケジュール!$M$16:$R$18,3,TRUE)</f>
        <v>5</v>
      </c>
      <c r="AS43" s="134">
        <f ca="1">VLOOKUP($B43,U10対戦スケジュール!$M$16:$R$18,5,TRUE)</f>
        <v>6</v>
      </c>
      <c r="AU43" s="138"/>
      <c r="AV43" s="138"/>
      <c r="AW43" s="138"/>
      <c r="AX43" s="138"/>
      <c r="AY43" s="138"/>
    </row>
    <row r="44" spans="1:51" ht="20.100000000000001" customHeight="1" x14ac:dyDescent="0.4">
      <c r="B44" s="442"/>
      <c r="C44" s="464"/>
      <c r="D44" s="465"/>
      <c r="E44" s="466"/>
      <c r="F44" s="449"/>
      <c r="G44" s="449"/>
      <c r="H44" s="449"/>
      <c r="I44" s="449"/>
      <c r="J44" s="468"/>
      <c r="K44" s="468"/>
      <c r="L44" s="468"/>
      <c r="M44" s="468"/>
      <c r="N44" s="468"/>
      <c r="O44" s="468"/>
      <c r="P44" s="468"/>
      <c r="Q44" s="446"/>
      <c r="R44" s="446"/>
      <c r="S44" s="136">
        <v>0</v>
      </c>
      <c r="T44" s="137" t="s">
        <v>8</v>
      </c>
      <c r="U44" s="136">
        <v>0</v>
      </c>
      <c r="V44" s="446"/>
      <c r="W44" s="446"/>
      <c r="X44" s="468"/>
      <c r="Y44" s="468"/>
      <c r="Z44" s="468"/>
      <c r="AA44" s="468"/>
      <c r="AB44" s="468"/>
      <c r="AC44" s="468"/>
      <c r="AD44" s="468"/>
      <c r="AE44" s="449"/>
      <c r="AF44" s="449"/>
      <c r="AG44" s="449"/>
      <c r="AH44" s="449"/>
      <c r="AI44" s="500"/>
      <c r="AJ44" s="509"/>
      <c r="AK44" s="509"/>
      <c r="AL44" s="509"/>
      <c r="AM44" s="509"/>
      <c r="AN44" s="509"/>
      <c r="AO44" s="509"/>
      <c r="AP44" s="501"/>
      <c r="AU44" s="138"/>
      <c r="AV44" s="138"/>
      <c r="AW44" s="138"/>
      <c r="AX44" s="138"/>
      <c r="AY44" s="138"/>
    </row>
    <row r="45" spans="1:51" ht="20.100000000000001" customHeight="1" x14ac:dyDescent="0.4">
      <c r="B45" s="442" t="str">
        <f ca="1">DBCS(INDIRECT("U10対戦スケジュール!ｍ"&amp;(ROW()-1)/2-5))</f>
        <v>⑥</v>
      </c>
      <c r="C45" s="461">
        <f ca="1">INDIRECT("U10対戦スケジュール!ｎ"&amp;(ROW()-1)/2-5)</f>
        <v>0.59750000000000003</v>
      </c>
      <c r="D45" s="462"/>
      <c r="E45" s="463"/>
      <c r="F45" s="449"/>
      <c r="G45" s="449"/>
      <c r="H45" s="449"/>
      <c r="I45" s="449"/>
      <c r="J45" s="467" t="str">
        <f ca="1">VLOOKUP(AR45,U10組合せ!$B$10:$I$17,7,TRUE)</f>
        <v>FC　Riso</v>
      </c>
      <c r="K45" s="468"/>
      <c r="L45" s="468"/>
      <c r="M45" s="468"/>
      <c r="N45" s="468"/>
      <c r="O45" s="468"/>
      <c r="P45" s="468"/>
      <c r="Q45" s="498">
        <f>IF(OR(S45="",S46=""),"",S45+S46)</f>
        <v>3</v>
      </c>
      <c r="R45" s="499"/>
      <c r="S45" s="136">
        <v>3</v>
      </c>
      <c r="T45" s="137" t="s">
        <v>8</v>
      </c>
      <c r="U45" s="136">
        <v>0</v>
      </c>
      <c r="V45" s="498">
        <f>IF(OR(U45="",U46=""),"",U45+U46)</f>
        <v>0</v>
      </c>
      <c r="W45" s="499"/>
      <c r="X45" s="467" t="str">
        <f ca="1">VLOOKUP(AS45,U10組合せ!$B$10:$I$17,7,TRUE)</f>
        <v>FC みらい</v>
      </c>
      <c r="Y45" s="468"/>
      <c r="Z45" s="468"/>
      <c r="AA45" s="468"/>
      <c r="AB45" s="468"/>
      <c r="AC45" s="468"/>
      <c r="AD45" s="468"/>
      <c r="AE45" s="502"/>
      <c r="AF45" s="503"/>
      <c r="AG45" s="503"/>
      <c r="AH45" s="504"/>
      <c r="AI45" s="498" t="str">
        <f ca="1">DBCS(INDIRECT("U10対戦スケジュール!R"&amp;(ROW()-1)/2-5))</f>
        <v>５／６／７／５</v>
      </c>
      <c r="AJ45" s="508" t="e">
        <f t="shared" ca="1" si="1"/>
        <v>#REF!</v>
      </c>
      <c r="AK45" s="508" t="e">
        <f t="shared" ca="1" si="1"/>
        <v>#REF!</v>
      </c>
      <c r="AL45" s="508" t="e">
        <f t="shared" ca="1" si="1"/>
        <v>#REF!</v>
      </c>
      <c r="AM45" s="508" t="e">
        <f t="shared" ca="1" si="1"/>
        <v>#REF!</v>
      </c>
      <c r="AN45" s="508" t="e">
        <f t="shared" ca="1" si="1"/>
        <v>#REF!</v>
      </c>
      <c r="AO45" s="508" t="e">
        <f t="shared" ca="1" si="1"/>
        <v>#REF!</v>
      </c>
      <c r="AP45" s="499" t="e">
        <f t="shared" ca="1" si="1"/>
        <v>#REF!</v>
      </c>
      <c r="AR45" s="134">
        <f ca="1">VLOOKUP($B45,U10対戦スケジュール!$M$16:$R$18,3,TRUE)</f>
        <v>7</v>
      </c>
      <c r="AS45" s="134">
        <f ca="1">VLOOKUP($B45,U10対戦スケジュール!$M$16:$R$18,5,TRUE)</f>
        <v>6</v>
      </c>
    </row>
    <row r="46" spans="1:51" ht="20.100000000000001" customHeight="1" x14ac:dyDescent="0.4">
      <c r="B46" s="442"/>
      <c r="C46" s="464"/>
      <c r="D46" s="465"/>
      <c r="E46" s="466"/>
      <c r="F46" s="449"/>
      <c r="G46" s="449"/>
      <c r="H46" s="449"/>
      <c r="I46" s="449"/>
      <c r="J46" s="468"/>
      <c r="K46" s="468"/>
      <c r="L46" s="468"/>
      <c r="M46" s="468"/>
      <c r="N46" s="468"/>
      <c r="O46" s="468"/>
      <c r="P46" s="468"/>
      <c r="Q46" s="500"/>
      <c r="R46" s="501"/>
      <c r="S46" s="136">
        <v>0</v>
      </c>
      <c r="T46" s="137" t="s">
        <v>8</v>
      </c>
      <c r="U46" s="136">
        <v>0</v>
      </c>
      <c r="V46" s="500"/>
      <c r="W46" s="501"/>
      <c r="X46" s="468"/>
      <c r="Y46" s="468"/>
      <c r="Z46" s="468"/>
      <c r="AA46" s="468"/>
      <c r="AB46" s="468"/>
      <c r="AC46" s="468"/>
      <c r="AD46" s="468"/>
      <c r="AE46" s="505"/>
      <c r="AF46" s="506"/>
      <c r="AG46" s="506"/>
      <c r="AH46" s="507"/>
      <c r="AI46" s="500"/>
      <c r="AJ46" s="509"/>
      <c r="AK46" s="509"/>
      <c r="AL46" s="509"/>
      <c r="AM46" s="509"/>
      <c r="AN46" s="509"/>
      <c r="AO46" s="509"/>
      <c r="AP46" s="501"/>
    </row>
    <row r="47" spans="1:51" ht="20.100000000000001" customHeight="1" x14ac:dyDescent="0.4">
      <c r="B47" s="442" t="str">
        <f ca="1">DBCS(INDIRECT("U10対戦スケジュール!ｍ"&amp;(ROW()-1)/2-5))</f>
        <v>⑦</v>
      </c>
      <c r="C47" s="461">
        <f ca="1">INDIRECT("U10対戦スケジュール!ｎ"&amp;(ROW()-1)/2-5)</f>
        <v>0.63250000000000006</v>
      </c>
      <c r="D47" s="462"/>
      <c r="E47" s="463"/>
      <c r="F47" s="449"/>
      <c r="G47" s="449"/>
      <c r="H47" s="449"/>
      <c r="I47" s="449"/>
      <c r="J47" s="467" t="str">
        <f ca="1">VLOOKUP(AR47,U10組合せ!$B$10:$I$17,7,TRUE)</f>
        <v>FC　Riso</v>
      </c>
      <c r="K47" s="468"/>
      <c r="L47" s="468"/>
      <c r="M47" s="468"/>
      <c r="N47" s="468"/>
      <c r="O47" s="468"/>
      <c r="P47" s="468"/>
      <c r="Q47" s="498">
        <f>IF(OR(S47="",S48=""),"",S47+S48)</f>
        <v>5</v>
      </c>
      <c r="R47" s="499"/>
      <c r="S47" s="136">
        <v>3</v>
      </c>
      <c r="T47" s="137" t="s">
        <v>8</v>
      </c>
      <c r="U47" s="136">
        <v>0</v>
      </c>
      <c r="V47" s="498">
        <f>IF(OR(U47="",U48=""),"",U47+U48)</f>
        <v>0</v>
      </c>
      <c r="W47" s="499"/>
      <c r="X47" s="467" t="str">
        <f ca="1">VLOOKUP(AS47,U10組合せ!$B$10:$I$17,7,TRUE)</f>
        <v>カテット白沢</v>
      </c>
      <c r="Y47" s="468"/>
      <c r="Z47" s="468"/>
      <c r="AA47" s="468"/>
      <c r="AB47" s="468"/>
      <c r="AC47" s="468"/>
      <c r="AD47" s="468"/>
      <c r="AE47" s="502"/>
      <c r="AF47" s="503"/>
      <c r="AG47" s="503"/>
      <c r="AH47" s="504"/>
      <c r="AI47" s="498" t="str">
        <f ca="1">DBCS(INDIRECT("U10対戦スケジュール!R"&amp;(ROW()-1)/2-5))</f>
        <v>６／７／５／６</v>
      </c>
      <c r="AJ47" s="508" t="e">
        <f t="shared" ca="1" si="1"/>
        <v>#REF!</v>
      </c>
      <c r="AK47" s="508" t="e">
        <f t="shared" ca="1" si="1"/>
        <v>#REF!</v>
      </c>
      <c r="AL47" s="508" t="e">
        <f t="shared" ca="1" si="1"/>
        <v>#REF!</v>
      </c>
      <c r="AM47" s="508" t="e">
        <f t="shared" ca="1" si="1"/>
        <v>#REF!</v>
      </c>
      <c r="AN47" s="508" t="e">
        <f t="shared" ca="1" si="1"/>
        <v>#REF!</v>
      </c>
      <c r="AO47" s="508" t="e">
        <f t="shared" ca="1" si="1"/>
        <v>#REF!</v>
      </c>
      <c r="AP47" s="499" t="e">
        <f t="shared" ca="1" si="1"/>
        <v>#REF!</v>
      </c>
      <c r="AR47" s="134">
        <f ca="1">VLOOKUP($B47,U10対戦スケジュール!$M$16:$R$18,3,TRUE)</f>
        <v>7</v>
      </c>
      <c r="AS47" s="134">
        <f ca="1">VLOOKUP($B47,U10対戦スケジュール!$M$16:$R$18,5,TRUE)</f>
        <v>5</v>
      </c>
    </row>
    <row r="48" spans="1:51" ht="20.100000000000001" customHeight="1" x14ac:dyDescent="0.4">
      <c r="B48" s="442"/>
      <c r="C48" s="464"/>
      <c r="D48" s="465"/>
      <c r="E48" s="466"/>
      <c r="F48" s="449"/>
      <c r="G48" s="449"/>
      <c r="H48" s="449"/>
      <c r="I48" s="449"/>
      <c r="J48" s="468"/>
      <c r="K48" s="468"/>
      <c r="L48" s="468"/>
      <c r="M48" s="468"/>
      <c r="N48" s="468"/>
      <c r="O48" s="468"/>
      <c r="P48" s="468"/>
      <c r="Q48" s="500"/>
      <c r="R48" s="501"/>
      <c r="S48" s="136">
        <v>2</v>
      </c>
      <c r="T48" s="137" t="s">
        <v>8</v>
      </c>
      <c r="U48" s="136">
        <v>0</v>
      </c>
      <c r="V48" s="500"/>
      <c r="W48" s="501"/>
      <c r="X48" s="468"/>
      <c r="Y48" s="468"/>
      <c r="Z48" s="468"/>
      <c r="AA48" s="468"/>
      <c r="AB48" s="468"/>
      <c r="AC48" s="468"/>
      <c r="AD48" s="468"/>
      <c r="AE48" s="505"/>
      <c r="AF48" s="506"/>
      <c r="AG48" s="506"/>
      <c r="AH48" s="507"/>
      <c r="AI48" s="500"/>
      <c r="AJ48" s="509"/>
      <c r="AK48" s="509"/>
      <c r="AL48" s="509"/>
      <c r="AM48" s="509"/>
      <c r="AN48" s="509"/>
      <c r="AO48" s="509"/>
      <c r="AP48" s="501"/>
    </row>
    <row r="49" spans="1:43" ht="18" customHeight="1" x14ac:dyDescent="0.4">
      <c r="B49" s="442"/>
      <c r="C49" s="461"/>
      <c r="D49" s="462"/>
      <c r="E49" s="463"/>
      <c r="F49" s="449"/>
      <c r="G49" s="449"/>
      <c r="H49" s="449"/>
      <c r="I49" s="449"/>
      <c r="J49" s="511"/>
      <c r="K49" s="512"/>
      <c r="L49" s="512"/>
      <c r="M49" s="512"/>
      <c r="N49" s="512"/>
      <c r="O49" s="512"/>
      <c r="P49" s="513"/>
      <c r="Q49" s="498"/>
      <c r="R49" s="499"/>
      <c r="S49" s="136"/>
      <c r="T49" s="137"/>
      <c r="U49" s="136"/>
      <c r="V49" s="498"/>
      <c r="W49" s="499"/>
      <c r="X49" s="511"/>
      <c r="Y49" s="512"/>
      <c r="Z49" s="512"/>
      <c r="AA49" s="512"/>
      <c r="AB49" s="512"/>
      <c r="AC49" s="512"/>
      <c r="AD49" s="513"/>
      <c r="AE49" s="502"/>
      <c r="AF49" s="503"/>
      <c r="AG49" s="503"/>
      <c r="AH49" s="504"/>
      <c r="AI49" s="498"/>
      <c r="AJ49" s="508"/>
      <c r="AK49" s="508"/>
      <c r="AL49" s="508"/>
      <c r="AM49" s="508"/>
      <c r="AN49" s="508"/>
      <c r="AO49" s="508"/>
      <c r="AP49" s="499"/>
    </row>
    <row r="50" spans="1:43" ht="18" customHeight="1" x14ac:dyDescent="0.4">
      <c r="B50" s="442"/>
      <c r="C50" s="464"/>
      <c r="D50" s="465"/>
      <c r="E50" s="466"/>
      <c r="F50" s="449"/>
      <c r="G50" s="449"/>
      <c r="H50" s="449"/>
      <c r="I50" s="449"/>
      <c r="J50" s="514"/>
      <c r="K50" s="515"/>
      <c r="L50" s="515"/>
      <c r="M50" s="515"/>
      <c r="N50" s="515"/>
      <c r="O50" s="515"/>
      <c r="P50" s="516"/>
      <c r="Q50" s="500"/>
      <c r="R50" s="501"/>
      <c r="S50" s="136"/>
      <c r="T50" s="137"/>
      <c r="U50" s="136"/>
      <c r="V50" s="500"/>
      <c r="W50" s="501"/>
      <c r="X50" s="514"/>
      <c r="Y50" s="515"/>
      <c r="Z50" s="515"/>
      <c r="AA50" s="515"/>
      <c r="AB50" s="515"/>
      <c r="AC50" s="515"/>
      <c r="AD50" s="516"/>
      <c r="AE50" s="505"/>
      <c r="AF50" s="506"/>
      <c r="AG50" s="506"/>
      <c r="AH50" s="507"/>
      <c r="AI50" s="500"/>
      <c r="AJ50" s="509"/>
      <c r="AK50" s="509"/>
      <c r="AL50" s="509"/>
      <c r="AM50" s="509"/>
      <c r="AN50" s="509"/>
      <c r="AO50" s="509"/>
      <c r="AP50" s="501"/>
    </row>
    <row r="51" spans="1:43" ht="18" customHeight="1" x14ac:dyDescent="0.4">
      <c r="B51" s="442"/>
      <c r="C51" s="451"/>
      <c r="D51" s="452"/>
      <c r="E51" s="453"/>
      <c r="F51" s="449"/>
      <c r="G51" s="449"/>
      <c r="H51" s="449"/>
      <c r="I51" s="449"/>
      <c r="J51" s="457"/>
      <c r="K51" s="458"/>
      <c r="L51" s="458"/>
      <c r="M51" s="458"/>
      <c r="N51" s="458"/>
      <c r="O51" s="458"/>
      <c r="P51" s="458"/>
      <c r="Q51" s="446"/>
      <c r="R51" s="446"/>
      <c r="S51" s="136"/>
      <c r="T51" s="137"/>
      <c r="U51" s="136"/>
      <c r="V51" s="446"/>
      <c r="W51" s="446"/>
      <c r="X51" s="457"/>
      <c r="Y51" s="458"/>
      <c r="Z51" s="458"/>
      <c r="AA51" s="458"/>
      <c r="AB51" s="458"/>
      <c r="AC51" s="458"/>
      <c r="AD51" s="458"/>
      <c r="AE51" s="449"/>
      <c r="AF51" s="449"/>
      <c r="AG51" s="449"/>
      <c r="AH51" s="449"/>
      <c r="AI51" s="459"/>
      <c r="AJ51" s="460"/>
      <c r="AK51" s="460"/>
      <c r="AL51" s="460"/>
      <c r="AM51" s="460"/>
      <c r="AN51" s="460"/>
      <c r="AO51" s="460"/>
      <c r="AP51" s="460"/>
    </row>
    <row r="52" spans="1:43" ht="18" customHeight="1" x14ac:dyDescent="0.4">
      <c r="B52" s="442"/>
      <c r="C52" s="454"/>
      <c r="D52" s="455"/>
      <c r="E52" s="456"/>
      <c r="F52" s="449"/>
      <c r="G52" s="449"/>
      <c r="H52" s="449"/>
      <c r="I52" s="449"/>
      <c r="J52" s="458"/>
      <c r="K52" s="458"/>
      <c r="L52" s="458"/>
      <c r="M52" s="458"/>
      <c r="N52" s="458"/>
      <c r="O52" s="458"/>
      <c r="P52" s="458"/>
      <c r="Q52" s="446"/>
      <c r="R52" s="446"/>
      <c r="S52" s="136"/>
      <c r="T52" s="137"/>
      <c r="U52" s="136"/>
      <c r="V52" s="446"/>
      <c r="W52" s="446"/>
      <c r="X52" s="458"/>
      <c r="Y52" s="458"/>
      <c r="Z52" s="458"/>
      <c r="AA52" s="458"/>
      <c r="AB52" s="458"/>
      <c r="AC52" s="458"/>
      <c r="AD52" s="458"/>
      <c r="AE52" s="449"/>
      <c r="AF52" s="449"/>
      <c r="AG52" s="449"/>
      <c r="AH52" s="449"/>
      <c r="AI52" s="460"/>
      <c r="AJ52" s="460"/>
      <c r="AK52" s="460"/>
      <c r="AL52" s="460"/>
      <c r="AM52" s="460"/>
      <c r="AN52" s="460"/>
      <c r="AO52" s="460"/>
      <c r="AP52" s="460"/>
    </row>
    <row r="53" spans="1:43" ht="18" customHeight="1" x14ac:dyDescent="0.4">
      <c r="B53" s="442"/>
      <c r="C53" s="451"/>
      <c r="D53" s="452"/>
      <c r="E53" s="453"/>
      <c r="F53" s="449"/>
      <c r="G53" s="449"/>
      <c r="H53" s="449"/>
      <c r="I53" s="449"/>
      <c r="J53" s="457"/>
      <c r="K53" s="458"/>
      <c r="L53" s="458"/>
      <c r="M53" s="458"/>
      <c r="N53" s="458"/>
      <c r="O53" s="458"/>
      <c r="P53" s="458"/>
      <c r="Q53" s="446"/>
      <c r="R53" s="446"/>
      <c r="S53" s="136"/>
      <c r="T53" s="137"/>
      <c r="U53" s="136"/>
      <c r="V53" s="446"/>
      <c r="W53" s="446"/>
      <c r="X53" s="457"/>
      <c r="Y53" s="458"/>
      <c r="Z53" s="458"/>
      <c r="AA53" s="458"/>
      <c r="AB53" s="458"/>
      <c r="AC53" s="458"/>
      <c r="AD53" s="458"/>
      <c r="AE53" s="449"/>
      <c r="AF53" s="449"/>
      <c r="AG53" s="449"/>
      <c r="AH53" s="449"/>
      <c r="AI53" s="459"/>
      <c r="AJ53" s="460"/>
      <c r="AK53" s="460"/>
      <c r="AL53" s="460"/>
      <c r="AM53" s="460"/>
      <c r="AN53" s="460"/>
      <c r="AO53" s="460"/>
      <c r="AP53" s="460"/>
    </row>
    <row r="54" spans="1:43" ht="18" customHeight="1" x14ac:dyDescent="0.4">
      <c r="B54" s="442"/>
      <c r="C54" s="454"/>
      <c r="D54" s="455"/>
      <c r="E54" s="456"/>
      <c r="F54" s="449"/>
      <c r="G54" s="449"/>
      <c r="H54" s="449"/>
      <c r="I54" s="449"/>
      <c r="J54" s="458"/>
      <c r="K54" s="458"/>
      <c r="L54" s="458"/>
      <c r="M54" s="458"/>
      <c r="N54" s="458"/>
      <c r="O54" s="458"/>
      <c r="P54" s="458"/>
      <c r="Q54" s="446"/>
      <c r="R54" s="446"/>
      <c r="S54" s="136"/>
      <c r="T54" s="137"/>
      <c r="U54" s="136"/>
      <c r="V54" s="446"/>
      <c r="W54" s="446"/>
      <c r="X54" s="458"/>
      <c r="Y54" s="458"/>
      <c r="Z54" s="458"/>
      <c r="AA54" s="458"/>
      <c r="AB54" s="458"/>
      <c r="AC54" s="458"/>
      <c r="AD54" s="458"/>
      <c r="AE54" s="449"/>
      <c r="AF54" s="449"/>
      <c r="AG54" s="449"/>
      <c r="AH54" s="449"/>
      <c r="AI54" s="460"/>
      <c r="AJ54" s="460"/>
      <c r="AK54" s="460"/>
      <c r="AL54" s="460"/>
      <c r="AM54" s="460"/>
      <c r="AN54" s="460"/>
      <c r="AO54" s="460"/>
      <c r="AP54" s="460"/>
    </row>
    <row r="55" spans="1:43" ht="18" customHeight="1" x14ac:dyDescent="0.4">
      <c r="B55" s="442"/>
      <c r="C55" s="450"/>
      <c r="D55" s="450"/>
      <c r="E55" s="450"/>
      <c r="F55" s="449"/>
      <c r="G55" s="449"/>
      <c r="H55" s="449"/>
      <c r="I55" s="449"/>
      <c r="J55" s="447"/>
      <c r="K55" s="448"/>
      <c r="L55" s="448"/>
      <c r="M55" s="448"/>
      <c r="N55" s="448"/>
      <c r="O55" s="448"/>
      <c r="P55" s="448"/>
      <c r="Q55" s="446"/>
      <c r="R55" s="446"/>
      <c r="S55" s="136"/>
      <c r="T55" s="137"/>
      <c r="U55" s="136"/>
      <c r="V55" s="446"/>
      <c r="W55" s="446"/>
      <c r="X55" s="447"/>
      <c r="Y55" s="448"/>
      <c r="Z55" s="448"/>
      <c r="AA55" s="448"/>
      <c r="AB55" s="448"/>
      <c r="AC55" s="448"/>
      <c r="AD55" s="448"/>
      <c r="AE55" s="449"/>
      <c r="AF55" s="449"/>
      <c r="AG55" s="449"/>
      <c r="AH55" s="449"/>
      <c r="AI55" s="446"/>
      <c r="AJ55" s="449"/>
      <c r="AK55" s="449"/>
      <c r="AL55" s="449"/>
      <c r="AM55" s="449"/>
      <c r="AN55" s="449"/>
      <c r="AO55" s="449"/>
      <c r="AP55" s="449"/>
    </row>
    <row r="56" spans="1:43" ht="18" customHeight="1" x14ac:dyDescent="0.4">
      <c r="B56" s="442"/>
      <c r="C56" s="450"/>
      <c r="D56" s="450"/>
      <c r="E56" s="450"/>
      <c r="F56" s="449"/>
      <c r="G56" s="449"/>
      <c r="H56" s="449"/>
      <c r="I56" s="449"/>
      <c r="J56" s="448"/>
      <c r="K56" s="448"/>
      <c r="L56" s="448"/>
      <c r="M56" s="448"/>
      <c r="N56" s="448"/>
      <c r="O56" s="448"/>
      <c r="P56" s="448"/>
      <c r="Q56" s="446"/>
      <c r="R56" s="446"/>
      <c r="S56" s="136"/>
      <c r="T56" s="137"/>
      <c r="U56" s="136"/>
      <c r="V56" s="446"/>
      <c r="W56" s="446"/>
      <c r="X56" s="448"/>
      <c r="Y56" s="448"/>
      <c r="Z56" s="448"/>
      <c r="AA56" s="448"/>
      <c r="AB56" s="448"/>
      <c r="AC56" s="448"/>
      <c r="AD56" s="448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</row>
    <row r="57" spans="1:43" ht="15.75" customHeight="1" x14ac:dyDescent="0.4">
      <c r="A57" s="138"/>
      <c r="B57" s="139"/>
      <c r="C57" s="140"/>
      <c r="D57" s="140"/>
      <c r="E57" s="140"/>
      <c r="F57" s="139"/>
      <c r="G57" s="139"/>
      <c r="H57" s="139"/>
      <c r="I57" s="139"/>
      <c r="J57" s="139"/>
      <c r="K57" s="141"/>
      <c r="L57" s="141"/>
      <c r="M57" s="142"/>
      <c r="N57" s="143"/>
      <c r="O57" s="142"/>
      <c r="P57" s="141"/>
      <c r="Q57" s="141"/>
      <c r="R57" s="139"/>
      <c r="S57" s="139"/>
      <c r="T57" s="139"/>
      <c r="U57" s="139"/>
      <c r="V57" s="139"/>
      <c r="W57" s="144"/>
      <c r="X57" s="144"/>
      <c r="Y57" s="144"/>
      <c r="Z57" s="144"/>
      <c r="AA57" s="144"/>
      <c r="AB57" s="144"/>
      <c r="AC57" s="138"/>
    </row>
    <row r="58" spans="1:43" ht="20.25" customHeight="1" x14ac:dyDescent="0.4">
      <c r="D58" s="442" t="s">
        <v>9</v>
      </c>
      <c r="E58" s="442"/>
      <c r="F58" s="442"/>
      <c r="G58" s="442"/>
      <c r="H58" s="442"/>
      <c r="I58" s="442"/>
      <c r="J58" s="442" t="s">
        <v>5</v>
      </c>
      <c r="K58" s="442"/>
      <c r="L58" s="442"/>
      <c r="M58" s="442"/>
      <c r="N58" s="442"/>
      <c r="O58" s="442"/>
      <c r="P58" s="442"/>
      <c r="Q58" s="442"/>
      <c r="R58" s="443" t="s">
        <v>10</v>
      </c>
      <c r="S58" s="443"/>
      <c r="T58" s="443"/>
      <c r="U58" s="443"/>
      <c r="V58" s="443"/>
      <c r="W58" s="443"/>
      <c r="X58" s="443"/>
      <c r="Y58" s="443"/>
      <c r="Z58" s="443"/>
      <c r="AA58" s="444" t="s">
        <v>11</v>
      </c>
      <c r="AB58" s="444"/>
      <c r="AC58" s="444"/>
      <c r="AD58" s="444" t="s">
        <v>12</v>
      </c>
      <c r="AE58" s="444"/>
      <c r="AF58" s="444"/>
      <c r="AG58" s="444"/>
      <c r="AH58" s="444"/>
      <c r="AI58" s="444"/>
      <c r="AJ58" s="444"/>
      <c r="AK58" s="444"/>
      <c r="AL58" s="444"/>
      <c r="AM58" s="444"/>
    </row>
    <row r="59" spans="1:43" ht="30" customHeight="1" x14ac:dyDescent="0.4">
      <c r="D59" s="442" t="s">
        <v>13</v>
      </c>
      <c r="E59" s="442"/>
      <c r="F59" s="442"/>
      <c r="G59" s="442"/>
      <c r="H59" s="442"/>
      <c r="I59" s="442"/>
      <c r="J59" s="442"/>
      <c r="K59" s="442"/>
      <c r="L59" s="442"/>
      <c r="M59" s="442"/>
      <c r="N59" s="442"/>
      <c r="O59" s="442"/>
      <c r="P59" s="442"/>
      <c r="Q59" s="442"/>
      <c r="R59" s="443"/>
      <c r="S59" s="443"/>
      <c r="T59" s="443"/>
      <c r="U59" s="443"/>
      <c r="V59" s="443"/>
      <c r="W59" s="443"/>
      <c r="X59" s="443"/>
      <c r="Y59" s="443"/>
      <c r="Z59" s="443"/>
      <c r="AA59" s="445"/>
      <c r="AB59" s="445"/>
      <c r="AC59" s="445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</row>
    <row r="60" spans="1:43" ht="30" customHeight="1" x14ac:dyDescent="0.4">
      <c r="D60" s="442" t="s">
        <v>13</v>
      </c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3"/>
      <c r="S60" s="443"/>
      <c r="T60" s="443"/>
      <c r="U60" s="443"/>
      <c r="V60" s="443"/>
      <c r="W60" s="443"/>
      <c r="X60" s="443"/>
      <c r="Y60" s="443"/>
      <c r="Z60" s="443"/>
      <c r="AA60" s="444"/>
      <c r="AB60" s="444"/>
      <c r="AC60" s="444"/>
      <c r="AD60" s="441"/>
      <c r="AE60" s="441"/>
      <c r="AF60" s="441"/>
      <c r="AG60" s="441"/>
      <c r="AH60" s="441"/>
      <c r="AI60" s="441"/>
      <c r="AJ60" s="441"/>
      <c r="AK60" s="441"/>
      <c r="AL60" s="441"/>
      <c r="AM60" s="441"/>
    </row>
    <row r="61" spans="1:43" ht="30" customHeight="1" x14ac:dyDescent="0.4">
      <c r="D61" s="442" t="s">
        <v>13</v>
      </c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3"/>
      <c r="S61" s="443"/>
      <c r="T61" s="443"/>
      <c r="U61" s="443"/>
      <c r="V61" s="443"/>
      <c r="W61" s="443"/>
      <c r="X61" s="443"/>
      <c r="Y61" s="443"/>
      <c r="Z61" s="443"/>
      <c r="AA61" s="444"/>
      <c r="AB61" s="444"/>
      <c r="AC61" s="444"/>
      <c r="AD61" s="441"/>
      <c r="AE61" s="441"/>
      <c r="AF61" s="441"/>
      <c r="AG61" s="441"/>
      <c r="AH61" s="441"/>
      <c r="AI61" s="441"/>
      <c r="AJ61" s="441"/>
      <c r="AK61" s="441"/>
      <c r="AL61" s="441"/>
      <c r="AM61" s="441"/>
    </row>
    <row r="62" spans="1:43" ht="7.5" customHeight="1" x14ac:dyDescent="0.4"/>
    <row r="63" spans="1:43" ht="14.25" customHeight="1" x14ac:dyDescent="0.4">
      <c r="A63" s="274"/>
      <c r="B63" s="489" t="str">
        <f>U10組合せ!$B$1</f>
        <v>ＪＦＡ　Ｕ-１０サッカーリーグ2021（in栃木） 宇都宮地区リーグ戦（前期）</v>
      </c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  <c r="R63" s="489"/>
      <c r="S63" s="489"/>
      <c r="T63" s="489"/>
      <c r="U63" s="489"/>
      <c r="V63" s="489"/>
      <c r="W63" s="489"/>
      <c r="X63" s="489"/>
      <c r="Y63" s="489"/>
      <c r="Z63" s="489"/>
      <c r="AA63" s="489"/>
      <c r="AB63" s="489"/>
      <c r="AC63" s="490" t="str">
        <f>"【"&amp;(U10組合せ!$H$3)&amp;"】"</f>
        <v>【Ｃ ブロック】</v>
      </c>
      <c r="AD63" s="490"/>
      <c r="AE63" s="490"/>
      <c r="AF63" s="490"/>
      <c r="AG63" s="490"/>
      <c r="AH63" s="490"/>
      <c r="AI63" s="490"/>
      <c r="AJ63" s="490"/>
      <c r="AK63" s="490" t="str">
        <f>"第"&amp;(U10組合せ!$F$25)</f>
        <v>第２節</v>
      </c>
      <c r="AL63" s="490"/>
      <c r="AM63" s="490"/>
      <c r="AN63" s="490"/>
      <c r="AO63" s="490"/>
      <c r="AP63" s="491" t="s">
        <v>195</v>
      </c>
      <c r="AQ63" s="492"/>
    </row>
    <row r="64" spans="1:43" ht="22.5" customHeight="1" x14ac:dyDescent="0.4">
      <c r="A64" s="274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490"/>
      <c r="AD64" s="490"/>
      <c r="AE64" s="490"/>
      <c r="AF64" s="490"/>
      <c r="AG64" s="490"/>
      <c r="AH64" s="490"/>
      <c r="AI64" s="490"/>
      <c r="AJ64" s="490"/>
      <c r="AK64" s="490"/>
      <c r="AL64" s="490"/>
      <c r="AM64" s="490"/>
      <c r="AN64" s="490"/>
      <c r="AO64" s="490"/>
      <c r="AP64" s="492"/>
      <c r="AQ64" s="492"/>
    </row>
    <row r="65" spans="2:45" ht="27.75" customHeight="1" x14ac:dyDescent="0.4">
      <c r="C65" s="477" t="s">
        <v>1</v>
      </c>
      <c r="D65" s="477"/>
      <c r="E65" s="477"/>
      <c r="F65" s="477"/>
      <c r="G65" s="478" t="str">
        <f>U10組合せ!I25</f>
        <v>陽南小</v>
      </c>
      <c r="H65" s="479"/>
      <c r="I65" s="479"/>
      <c r="J65" s="479"/>
      <c r="K65" s="479"/>
      <c r="L65" s="479"/>
      <c r="M65" s="479"/>
      <c r="N65" s="479"/>
      <c r="O65" s="480"/>
      <c r="P65" s="477" t="s">
        <v>0</v>
      </c>
      <c r="Q65" s="477"/>
      <c r="R65" s="477"/>
      <c r="S65" s="477"/>
      <c r="T65" s="481" t="str">
        <f>S67</f>
        <v>緑ヶ丘YFC</v>
      </c>
      <c r="U65" s="481"/>
      <c r="V65" s="481"/>
      <c r="W65" s="481"/>
      <c r="X65" s="481"/>
      <c r="Y65" s="481"/>
      <c r="Z65" s="481"/>
      <c r="AA65" s="481"/>
      <c r="AB65" s="481"/>
      <c r="AC65" s="477" t="s">
        <v>2</v>
      </c>
      <c r="AD65" s="477"/>
      <c r="AE65" s="477"/>
      <c r="AF65" s="477"/>
      <c r="AG65" s="482">
        <f>U10組合せ!B$25</f>
        <v>44310</v>
      </c>
      <c r="AH65" s="483"/>
      <c r="AI65" s="483"/>
      <c r="AJ65" s="483"/>
      <c r="AK65" s="483"/>
      <c r="AL65" s="483"/>
      <c r="AM65" s="484" t="str">
        <f>"（"&amp;TEXT(AG65,"aaa")&amp;"）"</f>
        <v>（土）</v>
      </c>
      <c r="AN65" s="484"/>
      <c r="AO65" s="485"/>
    </row>
    <row r="66" spans="2:45" ht="15" customHeight="1" x14ac:dyDescent="0.4">
      <c r="C66" s="134" t="str">
        <f>U10組合せ!I26</f>
        <v>C2456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3"/>
      <c r="X66" s="133"/>
      <c r="Y66" s="133"/>
      <c r="Z66" s="133"/>
      <c r="AA66" s="133"/>
      <c r="AB66" s="133"/>
      <c r="AC66" s="133"/>
    </row>
    <row r="67" spans="2:45" s="155" customFormat="1" ht="29.25" customHeight="1" x14ac:dyDescent="0.4">
      <c r="B67" s="134"/>
      <c r="C67" s="486">
        <v>1</v>
      </c>
      <c r="D67" s="486"/>
      <c r="E67" s="487" t="str">
        <f>VLOOKUP(C67,U10組合せ!$B$10:$I$17,7,TRUE)</f>
        <v>宇大付属小SSS　U-10</v>
      </c>
      <c r="F67" s="487"/>
      <c r="G67" s="487"/>
      <c r="H67" s="487"/>
      <c r="I67" s="487"/>
      <c r="J67" s="487"/>
      <c r="K67" s="487"/>
      <c r="L67" s="487"/>
      <c r="M67" s="487"/>
      <c r="N67" s="487"/>
      <c r="O67" s="148"/>
      <c r="P67" s="148"/>
      <c r="Q67" s="481">
        <v>4</v>
      </c>
      <c r="R67" s="481"/>
      <c r="S67" s="488" t="str">
        <f>VLOOKUP(Q67,U10組合せ!$B$10:$I$17,7,TRUE)</f>
        <v>緑ヶ丘YFC</v>
      </c>
      <c r="T67" s="488"/>
      <c r="U67" s="488"/>
      <c r="V67" s="488"/>
      <c r="W67" s="488"/>
      <c r="X67" s="488"/>
      <c r="Y67" s="488"/>
      <c r="Z67" s="488"/>
      <c r="AA67" s="488"/>
      <c r="AB67" s="488"/>
      <c r="AC67" s="131"/>
      <c r="AD67" s="132"/>
      <c r="AE67" s="486">
        <v>7</v>
      </c>
      <c r="AF67" s="486"/>
      <c r="AG67" s="487" t="str">
        <f>VLOOKUP(AE67,U10組合せ!$B$10:$I$17,7,TRUE)</f>
        <v>FC　Riso</v>
      </c>
      <c r="AH67" s="487"/>
      <c r="AI67" s="487"/>
      <c r="AJ67" s="487"/>
      <c r="AK67" s="487"/>
      <c r="AL67" s="487"/>
      <c r="AM67" s="487"/>
      <c r="AN67" s="487"/>
      <c r="AO67" s="487"/>
      <c r="AP67" s="487"/>
      <c r="AR67" s="155">
        <f>74/2</f>
        <v>37</v>
      </c>
    </row>
    <row r="68" spans="2:45" s="155" customFormat="1" ht="29.25" customHeight="1" x14ac:dyDescent="0.4">
      <c r="C68" s="481">
        <v>2</v>
      </c>
      <c r="D68" s="481"/>
      <c r="E68" s="488" t="str">
        <f>VLOOKUP(C68,U10組合せ!$B$10:$I$17,7,TRUE)</f>
        <v>S4スぺランツァ</v>
      </c>
      <c r="F68" s="488"/>
      <c r="G68" s="488"/>
      <c r="H68" s="488"/>
      <c r="I68" s="488"/>
      <c r="J68" s="488"/>
      <c r="K68" s="488"/>
      <c r="L68" s="488"/>
      <c r="M68" s="488"/>
      <c r="N68" s="488"/>
      <c r="O68" s="148"/>
      <c r="P68" s="148"/>
      <c r="Q68" s="481">
        <v>5</v>
      </c>
      <c r="R68" s="481"/>
      <c r="S68" s="488" t="str">
        <f>VLOOKUP(Q68,U10組合せ!$B$10:$I$17,7,TRUE)</f>
        <v>カテット白沢</v>
      </c>
      <c r="T68" s="488"/>
      <c r="U68" s="488"/>
      <c r="V68" s="488"/>
      <c r="W68" s="488"/>
      <c r="X68" s="488"/>
      <c r="Y68" s="488"/>
      <c r="Z68" s="488"/>
      <c r="AA68" s="488"/>
      <c r="AB68" s="488"/>
      <c r="AC68" s="131"/>
      <c r="AD68" s="132"/>
      <c r="AE68" s="486">
        <v>8</v>
      </c>
      <c r="AF68" s="486"/>
      <c r="AG68" s="487"/>
      <c r="AH68" s="487"/>
      <c r="AI68" s="487"/>
      <c r="AJ68" s="487"/>
      <c r="AK68" s="487"/>
      <c r="AL68" s="487"/>
      <c r="AM68" s="487"/>
      <c r="AN68" s="487"/>
      <c r="AO68" s="487"/>
      <c r="AP68" s="487"/>
      <c r="AR68" s="155">
        <v>27</v>
      </c>
    </row>
    <row r="69" spans="2:45" s="155" customFormat="1" ht="29.25" customHeight="1" x14ac:dyDescent="0.4">
      <c r="C69" s="486">
        <v>3</v>
      </c>
      <c r="D69" s="486"/>
      <c r="E69" s="487" t="str">
        <f>VLOOKUP(C69,U10組合せ!$B$10:$I$17,7,TRUE)</f>
        <v>豊郷JFC宇都宮U-10</v>
      </c>
      <c r="F69" s="487"/>
      <c r="G69" s="487"/>
      <c r="H69" s="487"/>
      <c r="I69" s="487"/>
      <c r="J69" s="487"/>
      <c r="K69" s="487"/>
      <c r="L69" s="487"/>
      <c r="M69" s="487"/>
      <c r="N69" s="487"/>
      <c r="O69" s="148"/>
      <c r="P69" s="148"/>
      <c r="Q69" s="481">
        <v>6</v>
      </c>
      <c r="R69" s="481"/>
      <c r="S69" s="488" t="str">
        <f>VLOOKUP(Q69,U10組合せ!$B$10:$I$17,7,TRUE)</f>
        <v>FC みらい</v>
      </c>
      <c r="T69" s="488"/>
      <c r="U69" s="488"/>
      <c r="V69" s="488"/>
      <c r="W69" s="488"/>
      <c r="X69" s="488"/>
      <c r="Y69" s="488"/>
      <c r="Z69" s="488"/>
      <c r="AA69" s="488"/>
      <c r="AB69" s="488"/>
      <c r="AC69" s="131"/>
      <c r="AD69" s="132"/>
      <c r="AE69" s="486">
        <v>9</v>
      </c>
      <c r="AF69" s="486"/>
      <c r="AG69" s="487"/>
      <c r="AH69" s="487"/>
      <c r="AI69" s="487"/>
      <c r="AJ69" s="487"/>
      <c r="AK69" s="487"/>
      <c r="AL69" s="487"/>
      <c r="AM69" s="487"/>
      <c r="AN69" s="487"/>
      <c r="AO69" s="487"/>
      <c r="AP69" s="487"/>
      <c r="AR69" s="155">
        <f>AR67-AR68</f>
        <v>10</v>
      </c>
    </row>
    <row r="70" spans="2:45" ht="8.25" customHeight="1" x14ac:dyDescent="0.4">
      <c r="O70" s="138"/>
      <c r="P70" s="138"/>
      <c r="AC70" s="133"/>
    </row>
    <row r="71" spans="2:45" ht="8.25" customHeight="1" x14ac:dyDescent="0.4">
      <c r="C71" s="149"/>
      <c r="D71" s="150"/>
      <c r="E71" s="150"/>
      <c r="F71" s="150"/>
      <c r="G71" s="150"/>
      <c r="H71" s="150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50"/>
      <c r="U71" s="138"/>
      <c r="V71" s="150"/>
      <c r="W71" s="138"/>
      <c r="X71" s="150"/>
      <c r="Y71" s="138"/>
      <c r="Z71" s="150"/>
      <c r="AA71" s="138"/>
      <c r="AB71" s="150"/>
      <c r="AC71" s="150"/>
    </row>
    <row r="72" spans="2:45" ht="21" customHeight="1" x14ac:dyDescent="0.4">
      <c r="B72" s="134" t="s">
        <v>181</v>
      </c>
    </row>
    <row r="73" spans="2:45" ht="20.25" customHeight="1" x14ac:dyDescent="0.4">
      <c r="B73" s="135"/>
      <c r="C73" s="469" t="s">
        <v>3</v>
      </c>
      <c r="D73" s="469"/>
      <c r="E73" s="469"/>
      <c r="F73" s="470" t="s">
        <v>4</v>
      </c>
      <c r="G73" s="470"/>
      <c r="H73" s="470"/>
      <c r="I73" s="470"/>
      <c r="J73" s="469" t="s">
        <v>5</v>
      </c>
      <c r="K73" s="471"/>
      <c r="L73" s="471"/>
      <c r="M73" s="471"/>
      <c r="N73" s="471"/>
      <c r="O73" s="471"/>
      <c r="P73" s="471"/>
      <c r="Q73" s="469" t="s">
        <v>40</v>
      </c>
      <c r="R73" s="469"/>
      <c r="S73" s="469"/>
      <c r="T73" s="469"/>
      <c r="U73" s="469"/>
      <c r="V73" s="469"/>
      <c r="W73" s="469"/>
      <c r="X73" s="469" t="s">
        <v>5</v>
      </c>
      <c r="Y73" s="471"/>
      <c r="Z73" s="471"/>
      <c r="AA73" s="471"/>
      <c r="AB73" s="471"/>
      <c r="AC73" s="471"/>
      <c r="AD73" s="471"/>
      <c r="AE73" s="470" t="s">
        <v>4</v>
      </c>
      <c r="AF73" s="470"/>
      <c r="AG73" s="470"/>
      <c r="AH73" s="470"/>
      <c r="AI73" s="469" t="s">
        <v>7</v>
      </c>
      <c r="AJ73" s="469"/>
      <c r="AK73" s="471"/>
      <c r="AL73" s="471"/>
      <c r="AM73" s="471"/>
      <c r="AN73" s="471"/>
      <c r="AO73" s="471"/>
      <c r="AP73" s="471"/>
    </row>
    <row r="74" spans="2:45" ht="20.100000000000001" customHeight="1" x14ac:dyDescent="0.4">
      <c r="B74" s="442" t="str">
        <f ca="1">DBCS(INDIRECT("U10対戦スケジュール!m"&amp;(ROW())/2-AR$69))</f>
        <v>①</v>
      </c>
      <c r="C74" s="461">
        <f ca="1">VLOOKUP(B74,U10対戦スケジュール!M$27:R$30,2,TRUE)</f>
        <v>0.375</v>
      </c>
      <c r="D74" s="462"/>
      <c r="E74" s="463"/>
      <c r="F74" s="449"/>
      <c r="G74" s="449"/>
      <c r="H74" s="449"/>
      <c r="I74" s="449"/>
      <c r="J74" s="467" t="str">
        <f ca="1">VLOOKUP(AR74,U10組合せ!$B$10:$I$17,7,TRUE)</f>
        <v>S4スぺランツァ</v>
      </c>
      <c r="K74" s="468"/>
      <c r="L74" s="468"/>
      <c r="M74" s="468"/>
      <c r="N74" s="468"/>
      <c r="O74" s="468"/>
      <c r="P74" s="468"/>
      <c r="Q74" s="446">
        <f>IF(OR(S74="",S75=""),"",S74+S75)</f>
        <v>7</v>
      </c>
      <c r="R74" s="446"/>
      <c r="S74" s="136">
        <v>5</v>
      </c>
      <c r="T74" s="137" t="s">
        <v>8</v>
      </c>
      <c r="U74" s="136">
        <v>0</v>
      </c>
      <c r="V74" s="446">
        <f>IF(OR(U74="",U75=""),"",U74+U75)</f>
        <v>0</v>
      </c>
      <c r="W74" s="446"/>
      <c r="X74" s="467" t="str">
        <f ca="1">VLOOKUP(AS74,U10組合せ!$B$10:$I$17,7,TRUE)</f>
        <v>FC みらい</v>
      </c>
      <c r="Y74" s="468"/>
      <c r="Z74" s="468"/>
      <c r="AA74" s="468"/>
      <c r="AB74" s="468"/>
      <c r="AC74" s="468"/>
      <c r="AD74" s="468"/>
      <c r="AE74" s="449"/>
      <c r="AF74" s="449"/>
      <c r="AG74" s="449"/>
      <c r="AH74" s="449"/>
      <c r="AI74" s="446" t="str">
        <f ca="1">DBCS(VLOOKUP(B74,U10対戦スケジュール!M$27:R$30,6,TRUE))</f>
        <v>４／５／５／４</v>
      </c>
      <c r="AJ74" s="449" t="e">
        <f>VLOOKUP(#REF!,U10対戦スケジュール!#REF!,3,TRUE)</f>
        <v>#REF!</v>
      </c>
      <c r="AK74" s="449" t="e">
        <f>VLOOKUP(#REF!,U10対戦スケジュール!#REF!,3,TRUE)</f>
        <v>#REF!</v>
      </c>
      <c r="AL74" s="449" t="e">
        <f>VLOOKUP(#REF!,U10対戦スケジュール!#REF!,3,TRUE)</f>
        <v>#REF!</v>
      </c>
      <c r="AM74" s="449" t="e">
        <f>VLOOKUP(#REF!,U10対戦スケジュール!#REF!,3,TRUE)</f>
        <v>#REF!</v>
      </c>
      <c r="AN74" s="449" t="e">
        <f>VLOOKUP(#REF!,U10対戦スケジュール!#REF!,3,TRUE)</f>
        <v>#REF!</v>
      </c>
      <c r="AO74" s="449" t="e">
        <f>VLOOKUP(#REF!,U10対戦スケジュール!#REF!,3,TRUE)</f>
        <v>#REF!</v>
      </c>
      <c r="AP74" s="449" t="e">
        <f>VLOOKUP(#REF!,U10対戦スケジュール!#REF!,3,TRUE)</f>
        <v>#REF!</v>
      </c>
      <c r="AR74" s="151">
        <f ca="1">VLOOKUP(B74,U10対戦スケジュール!M$27:R$30,3,TRUE)</f>
        <v>2</v>
      </c>
      <c r="AS74" s="151">
        <f ca="1">VLOOKUP(B74,U10対戦スケジュール!M$27:R$30,5)</f>
        <v>6</v>
      </c>
    </row>
    <row r="75" spans="2:45" ht="20.100000000000001" customHeight="1" x14ac:dyDescent="0.4">
      <c r="B75" s="442"/>
      <c r="C75" s="464"/>
      <c r="D75" s="465"/>
      <c r="E75" s="466"/>
      <c r="F75" s="449"/>
      <c r="G75" s="449"/>
      <c r="H75" s="449"/>
      <c r="I75" s="449"/>
      <c r="J75" s="468"/>
      <c r="K75" s="468"/>
      <c r="L75" s="468"/>
      <c r="M75" s="468"/>
      <c r="N75" s="468"/>
      <c r="O75" s="468"/>
      <c r="P75" s="468"/>
      <c r="Q75" s="446"/>
      <c r="R75" s="446"/>
      <c r="S75" s="136">
        <v>2</v>
      </c>
      <c r="T75" s="137" t="s">
        <v>8</v>
      </c>
      <c r="U75" s="136">
        <v>0</v>
      </c>
      <c r="V75" s="446"/>
      <c r="W75" s="446"/>
      <c r="X75" s="468"/>
      <c r="Y75" s="468"/>
      <c r="Z75" s="468"/>
      <c r="AA75" s="468"/>
      <c r="AB75" s="468"/>
      <c r="AC75" s="468"/>
      <c r="AD75" s="468"/>
      <c r="AE75" s="449"/>
      <c r="AF75" s="449"/>
      <c r="AG75" s="449"/>
      <c r="AH75" s="449"/>
      <c r="AI75" s="449" t="e">
        <f>VLOOKUP(#REF!,U10対戦スケジュール!#REF!,3,TRUE)</f>
        <v>#REF!</v>
      </c>
      <c r="AJ75" s="449" t="e">
        <f>VLOOKUP(#REF!,U10対戦スケジュール!#REF!,3,TRUE)</f>
        <v>#REF!</v>
      </c>
      <c r="AK75" s="449" t="e">
        <f>VLOOKUP(#REF!,U10対戦スケジュール!#REF!,3,TRUE)</f>
        <v>#REF!</v>
      </c>
      <c r="AL75" s="449" t="e">
        <f>VLOOKUP(#REF!,U10対戦スケジュール!#REF!,3,TRUE)</f>
        <v>#REF!</v>
      </c>
      <c r="AM75" s="449" t="e">
        <f>VLOOKUP(#REF!,U10対戦スケジュール!#REF!,3,TRUE)</f>
        <v>#REF!</v>
      </c>
      <c r="AN75" s="449" t="e">
        <f>VLOOKUP(#REF!,U10対戦スケジュール!#REF!,3,TRUE)</f>
        <v>#REF!</v>
      </c>
      <c r="AO75" s="449" t="e">
        <f>VLOOKUP(#REF!,U10対戦スケジュール!#REF!,3,TRUE)</f>
        <v>#REF!</v>
      </c>
      <c r="AP75" s="449" t="e">
        <f>VLOOKUP(#REF!,U10対戦スケジュール!#REF!,3,TRUE)</f>
        <v>#REF!</v>
      </c>
      <c r="AR75" s="151"/>
      <c r="AS75" s="151"/>
    </row>
    <row r="76" spans="2:45" ht="20.100000000000001" customHeight="1" x14ac:dyDescent="0.4">
      <c r="B76" s="442" t="str">
        <f ca="1">DBCS(INDIRECT("U10対戦スケジュール!m"&amp;(ROW())/2-AR$69))</f>
        <v>②</v>
      </c>
      <c r="C76" s="461">
        <f ca="1">VLOOKUP(B76,U10対戦スケジュール!M$27:R$30,2,TRUE)</f>
        <v>0.40279999999999999</v>
      </c>
      <c r="D76" s="462"/>
      <c r="E76" s="463"/>
      <c r="F76" s="449"/>
      <c r="G76" s="449"/>
      <c r="H76" s="449"/>
      <c r="I76" s="449"/>
      <c r="J76" s="467" t="str">
        <f ca="1">VLOOKUP(AR76,U10組合せ!$B$10:$I$17,7,TRUE)</f>
        <v>緑ヶ丘YFC</v>
      </c>
      <c r="K76" s="468"/>
      <c r="L76" s="468"/>
      <c r="M76" s="468"/>
      <c r="N76" s="468"/>
      <c r="O76" s="468"/>
      <c r="P76" s="468"/>
      <c r="Q76" s="446">
        <f>IF(OR(S76="",S77=""),"",S76+S77)</f>
        <v>3</v>
      </c>
      <c r="R76" s="446"/>
      <c r="S76" s="136">
        <v>3</v>
      </c>
      <c r="T76" s="137" t="s">
        <v>8</v>
      </c>
      <c r="U76" s="136">
        <v>0</v>
      </c>
      <c r="V76" s="446">
        <f>IF(OR(U76="",U77=""),"",U76+U77)</f>
        <v>4</v>
      </c>
      <c r="W76" s="446"/>
      <c r="X76" s="467" t="str">
        <f ca="1">VLOOKUP(AS76,U10組合せ!$B$10:$I$17,7,TRUE)</f>
        <v>カテット白沢</v>
      </c>
      <c r="Y76" s="468"/>
      <c r="Z76" s="468"/>
      <c r="AA76" s="468"/>
      <c r="AB76" s="468"/>
      <c r="AC76" s="468"/>
      <c r="AD76" s="468"/>
      <c r="AE76" s="449"/>
      <c r="AF76" s="449"/>
      <c r="AG76" s="449"/>
      <c r="AH76" s="449"/>
      <c r="AI76" s="446" t="str">
        <f ca="1">DBCS(VLOOKUP(B76,U10対戦スケジュール!M$27:R$30,6,TRUE))</f>
        <v>２／６／６／２</v>
      </c>
      <c r="AJ76" s="449" t="e">
        <f>VLOOKUP(#REF!,U10対戦スケジュール!#REF!,3,TRUE)</f>
        <v>#REF!</v>
      </c>
      <c r="AK76" s="449" t="e">
        <f>VLOOKUP(#REF!,U10対戦スケジュール!#REF!,3,TRUE)</f>
        <v>#REF!</v>
      </c>
      <c r="AL76" s="449" t="e">
        <f>VLOOKUP(#REF!,U10対戦スケジュール!#REF!,3,TRUE)</f>
        <v>#REF!</v>
      </c>
      <c r="AM76" s="449" t="e">
        <f>VLOOKUP(#REF!,U10対戦スケジュール!#REF!,3,TRUE)</f>
        <v>#REF!</v>
      </c>
      <c r="AN76" s="449" t="e">
        <f>VLOOKUP(#REF!,U10対戦スケジュール!#REF!,3,TRUE)</f>
        <v>#REF!</v>
      </c>
      <c r="AO76" s="449" t="e">
        <f>VLOOKUP(#REF!,U10対戦スケジュール!#REF!,3,TRUE)</f>
        <v>#REF!</v>
      </c>
      <c r="AP76" s="449" t="e">
        <f>VLOOKUP(#REF!,U10対戦スケジュール!#REF!,3,TRUE)</f>
        <v>#REF!</v>
      </c>
      <c r="AR76" s="151">
        <f ca="1">VLOOKUP(B76,U10対戦スケジュール!M$27:R$30,3,TRUE)</f>
        <v>4</v>
      </c>
      <c r="AS76" s="151">
        <f ca="1">VLOOKUP(B76,U10対戦スケジュール!M$27:R$30,5)</f>
        <v>5</v>
      </c>
    </row>
    <row r="77" spans="2:45" ht="20.100000000000001" customHeight="1" x14ac:dyDescent="0.4">
      <c r="B77" s="442"/>
      <c r="C77" s="464"/>
      <c r="D77" s="465"/>
      <c r="E77" s="466"/>
      <c r="F77" s="449"/>
      <c r="G77" s="449"/>
      <c r="H77" s="449"/>
      <c r="I77" s="449"/>
      <c r="J77" s="468"/>
      <c r="K77" s="468"/>
      <c r="L77" s="468"/>
      <c r="M77" s="468"/>
      <c r="N77" s="468"/>
      <c r="O77" s="468"/>
      <c r="P77" s="468"/>
      <c r="Q77" s="446"/>
      <c r="R77" s="446"/>
      <c r="S77" s="136">
        <v>0</v>
      </c>
      <c r="T77" s="137" t="s">
        <v>8</v>
      </c>
      <c r="U77" s="136">
        <v>4</v>
      </c>
      <c r="V77" s="446"/>
      <c r="W77" s="446"/>
      <c r="X77" s="468"/>
      <c r="Y77" s="468"/>
      <c r="Z77" s="468"/>
      <c r="AA77" s="468"/>
      <c r="AB77" s="468"/>
      <c r="AC77" s="468"/>
      <c r="AD77" s="468"/>
      <c r="AE77" s="449"/>
      <c r="AF77" s="449"/>
      <c r="AG77" s="449"/>
      <c r="AH77" s="449"/>
      <c r="AI77" s="449" t="e">
        <f>VLOOKUP(#REF!,U10対戦スケジュール!#REF!,3,TRUE)</f>
        <v>#REF!</v>
      </c>
      <c r="AJ77" s="449" t="e">
        <f>VLOOKUP(#REF!,U10対戦スケジュール!#REF!,3,TRUE)</f>
        <v>#REF!</v>
      </c>
      <c r="AK77" s="449" t="e">
        <f>VLOOKUP(#REF!,U10対戦スケジュール!#REF!,3,TRUE)</f>
        <v>#REF!</v>
      </c>
      <c r="AL77" s="449" t="e">
        <f>VLOOKUP(#REF!,U10対戦スケジュール!#REF!,3,TRUE)</f>
        <v>#REF!</v>
      </c>
      <c r="AM77" s="449" t="e">
        <f>VLOOKUP(#REF!,U10対戦スケジュール!#REF!,3,TRUE)</f>
        <v>#REF!</v>
      </c>
      <c r="AN77" s="449" t="e">
        <f>VLOOKUP(#REF!,U10対戦スケジュール!#REF!,3,TRUE)</f>
        <v>#REF!</v>
      </c>
      <c r="AO77" s="449" t="e">
        <f>VLOOKUP(#REF!,U10対戦スケジュール!#REF!,3,TRUE)</f>
        <v>#REF!</v>
      </c>
      <c r="AP77" s="449" t="e">
        <f>VLOOKUP(#REF!,U10対戦スケジュール!#REF!,3,TRUE)</f>
        <v>#REF!</v>
      </c>
    </row>
    <row r="78" spans="2:45" ht="20.100000000000001" customHeight="1" x14ac:dyDescent="0.4">
      <c r="B78" s="442" t="str">
        <f ca="1">DBCS(INDIRECT("U10対戦スケジュール!m"&amp;(ROW())/2-AR$69))</f>
        <v>③</v>
      </c>
      <c r="C78" s="461">
        <f ca="1">VLOOKUP(B78,U10対戦スケジュール!M$27:R$30,2,TRUE)</f>
        <v>0.43779999999999997</v>
      </c>
      <c r="D78" s="462"/>
      <c r="E78" s="463"/>
      <c r="F78" s="449"/>
      <c r="G78" s="449"/>
      <c r="H78" s="449"/>
      <c r="I78" s="449"/>
      <c r="J78" s="467" t="str">
        <f ca="1">VLOOKUP(AR78,U10組合せ!$B$10:$I$17,7,TRUE)</f>
        <v>S4スぺランツァ</v>
      </c>
      <c r="K78" s="468"/>
      <c r="L78" s="468"/>
      <c r="M78" s="468"/>
      <c r="N78" s="468"/>
      <c r="O78" s="468"/>
      <c r="P78" s="468"/>
      <c r="Q78" s="446">
        <f t="shared" ref="Q78" si="2">IF(OR(S78="",S79=""),"",S78+S79)</f>
        <v>2</v>
      </c>
      <c r="R78" s="446"/>
      <c r="S78" s="136">
        <v>0</v>
      </c>
      <c r="T78" s="137"/>
      <c r="U78" s="136">
        <v>0</v>
      </c>
      <c r="V78" s="446">
        <f t="shared" ref="V78" si="3">IF(OR(U78="",U79=""),"",U78+U79)</f>
        <v>0</v>
      </c>
      <c r="W78" s="446"/>
      <c r="X78" s="467" t="str">
        <f ca="1">VLOOKUP(AS78,U10組合せ!$B$10:$I$17,7,TRUE)</f>
        <v>カテット白沢</v>
      </c>
      <c r="Y78" s="468"/>
      <c r="Z78" s="468"/>
      <c r="AA78" s="468"/>
      <c r="AB78" s="468"/>
      <c r="AC78" s="468"/>
      <c r="AD78" s="468"/>
      <c r="AE78" s="449"/>
      <c r="AF78" s="449"/>
      <c r="AG78" s="449"/>
      <c r="AH78" s="449"/>
      <c r="AI78" s="446" t="str">
        <f ca="1">DBCS(VLOOKUP(B78,U10対戦スケジュール!M$27:R$30,6,TRUE))</f>
        <v>６／４／４／６</v>
      </c>
      <c r="AJ78" s="449" t="e">
        <f>VLOOKUP(#REF!,U10対戦スケジュール!#REF!,3,TRUE)</f>
        <v>#REF!</v>
      </c>
      <c r="AK78" s="449" t="e">
        <f>VLOOKUP(#REF!,U10対戦スケジュール!#REF!,3,TRUE)</f>
        <v>#REF!</v>
      </c>
      <c r="AL78" s="449" t="e">
        <f>VLOOKUP(#REF!,U10対戦スケジュール!#REF!,3,TRUE)</f>
        <v>#REF!</v>
      </c>
      <c r="AM78" s="449" t="e">
        <f>VLOOKUP(#REF!,U10対戦スケジュール!#REF!,3,TRUE)</f>
        <v>#REF!</v>
      </c>
      <c r="AN78" s="449" t="e">
        <f>VLOOKUP(#REF!,U10対戦スケジュール!#REF!,3,TRUE)</f>
        <v>#REF!</v>
      </c>
      <c r="AO78" s="449" t="e">
        <f>VLOOKUP(#REF!,U10対戦スケジュール!#REF!,3,TRUE)</f>
        <v>#REF!</v>
      </c>
      <c r="AP78" s="449" t="e">
        <f>VLOOKUP(#REF!,U10対戦スケジュール!#REF!,3,TRUE)</f>
        <v>#REF!</v>
      </c>
      <c r="AR78" s="151">
        <f ca="1">VLOOKUP(B78,U10対戦スケジュール!M$27:R$30,3,TRUE)</f>
        <v>2</v>
      </c>
      <c r="AS78" s="151">
        <f ca="1">VLOOKUP(B78,U10対戦スケジュール!M$27:R$30,5)</f>
        <v>5</v>
      </c>
    </row>
    <row r="79" spans="2:45" ht="20.100000000000001" customHeight="1" x14ac:dyDescent="0.4">
      <c r="B79" s="442"/>
      <c r="C79" s="464"/>
      <c r="D79" s="465"/>
      <c r="E79" s="466"/>
      <c r="F79" s="449"/>
      <c r="G79" s="449"/>
      <c r="H79" s="449"/>
      <c r="I79" s="449"/>
      <c r="J79" s="468"/>
      <c r="K79" s="468"/>
      <c r="L79" s="468"/>
      <c r="M79" s="468"/>
      <c r="N79" s="468"/>
      <c r="O79" s="468"/>
      <c r="P79" s="468"/>
      <c r="Q79" s="446"/>
      <c r="R79" s="446"/>
      <c r="S79" s="136">
        <v>2</v>
      </c>
      <c r="T79" s="137"/>
      <c r="U79" s="136">
        <v>0</v>
      </c>
      <c r="V79" s="446"/>
      <c r="W79" s="446"/>
      <c r="X79" s="468"/>
      <c r="Y79" s="468"/>
      <c r="Z79" s="468"/>
      <c r="AA79" s="468"/>
      <c r="AB79" s="468"/>
      <c r="AC79" s="468"/>
      <c r="AD79" s="468"/>
      <c r="AE79" s="449"/>
      <c r="AF79" s="449"/>
      <c r="AG79" s="449"/>
      <c r="AH79" s="449"/>
      <c r="AI79" s="449" t="e">
        <f>VLOOKUP(#REF!,U10対戦スケジュール!#REF!,3,TRUE)</f>
        <v>#REF!</v>
      </c>
      <c r="AJ79" s="449" t="e">
        <f>VLOOKUP(#REF!,U10対戦スケジュール!#REF!,3,TRUE)</f>
        <v>#REF!</v>
      </c>
      <c r="AK79" s="449" t="e">
        <f>VLOOKUP(#REF!,U10対戦スケジュール!#REF!,3,TRUE)</f>
        <v>#REF!</v>
      </c>
      <c r="AL79" s="449" t="e">
        <f>VLOOKUP(#REF!,U10対戦スケジュール!#REF!,3,TRUE)</f>
        <v>#REF!</v>
      </c>
      <c r="AM79" s="449" t="e">
        <f>VLOOKUP(#REF!,U10対戦スケジュール!#REF!,3,TRUE)</f>
        <v>#REF!</v>
      </c>
      <c r="AN79" s="449" t="e">
        <f>VLOOKUP(#REF!,U10対戦スケジュール!#REF!,3,TRUE)</f>
        <v>#REF!</v>
      </c>
      <c r="AO79" s="449" t="e">
        <f>VLOOKUP(#REF!,U10対戦スケジュール!#REF!,3,TRUE)</f>
        <v>#REF!</v>
      </c>
      <c r="AP79" s="449" t="e">
        <f>VLOOKUP(#REF!,U10対戦スケジュール!#REF!,3,TRUE)</f>
        <v>#REF!</v>
      </c>
      <c r="AR79" s="151"/>
      <c r="AS79" s="151"/>
    </row>
    <row r="80" spans="2:45" ht="20.100000000000001" customHeight="1" x14ac:dyDescent="0.4">
      <c r="B80" s="442" t="str">
        <f ca="1">DBCS(INDIRECT("U10対戦スケジュール!m"&amp;(ROW())/2-AR$69))</f>
        <v>④</v>
      </c>
      <c r="C80" s="461">
        <f ca="1">VLOOKUP(B80,U10対戦スケジュール!M$27:R$30,2,TRUE)</f>
        <v>0.46559999999999996</v>
      </c>
      <c r="D80" s="462"/>
      <c r="E80" s="463"/>
      <c r="F80" s="449"/>
      <c r="G80" s="449"/>
      <c r="H80" s="449"/>
      <c r="I80" s="449"/>
      <c r="J80" s="467" t="str">
        <f ca="1">VLOOKUP(AR80,U10組合せ!$B$10:$I$17,7,TRUE)</f>
        <v>緑ヶ丘YFC</v>
      </c>
      <c r="K80" s="468"/>
      <c r="L80" s="468"/>
      <c r="M80" s="468"/>
      <c r="N80" s="468"/>
      <c r="O80" s="468"/>
      <c r="P80" s="468"/>
      <c r="Q80" s="446">
        <f t="shared" ref="Q80" si="4">IF(OR(S80="",S81=""),"",S80+S81)</f>
        <v>1</v>
      </c>
      <c r="R80" s="446"/>
      <c r="S80" s="136">
        <v>0</v>
      </c>
      <c r="T80" s="137"/>
      <c r="U80" s="136">
        <v>5</v>
      </c>
      <c r="V80" s="446">
        <f t="shared" ref="V80" si="5">IF(OR(U80="",U81=""),"",U80+U81)</f>
        <v>9</v>
      </c>
      <c r="W80" s="446"/>
      <c r="X80" s="467" t="str">
        <f ca="1">VLOOKUP(AS80,U10組合せ!$B$10:$I$17,7,TRUE)</f>
        <v>FC みらい</v>
      </c>
      <c r="Y80" s="468"/>
      <c r="Z80" s="468"/>
      <c r="AA80" s="468"/>
      <c r="AB80" s="468"/>
      <c r="AC80" s="468"/>
      <c r="AD80" s="468"/>
      <c r="AE80" s="449"/>
      <c r="AF80" s="449"/>
      <c r="AG80" s="449"/>
      <c r="AH80" s="449"/>
      <c r="AI80" s="446" t="str">
        <f ca="1">DBCS(VLOOKUP(B80,U10対戦スケジュール!M$27:R$30,6,TRUE))</f>
        <v>５／２／２／５</v>
      </c>
      <c r="AJ80" s="449" t="e">
        <f>VLOOKUP(#REF!,U10対戦スケジュール!#REF!,3,TRUE)</f>
        <v>#REF!</v>
      </c>
      <c r="AK80" s="449" t="e">
        <f>VLOOKUP(#REF!,U10対戦スケジュール!#REF!,3,TRUE)</f>
        <v>#REF!</v>
      </c>
      <c r="AL80" s="449" t="e">
        <f>VLOOKUP(#REF!,U10対戦スケジュール!#REF!,3,TRUE)</f>
        <v>#REF!</v>
      </c>
      <c r="AM80" s="449" t="e">
        <f>VLOOKUP(#REF!,U10対戦スケジュール!#REF!,3,TRUE)</f>
        <v>#REF!</v>
      </c>
      <c r="AN80" s="449" t="e">
        <f>VLOOKUP(#REF!,U10対戦スケジュール!#REF!,3,TRUE)</f>
        <v>#REF!</v>
      </c>
      <c r="AO80" s="449" t="e">
        <f>VLOOKUP(#REF!,U10対戦スケジュール!#REF!,3,TRUE)</f>
        <v>#REF!</v>
      </c>
      <c r="AP80" s="449" t="e">
        <f>VLOOKUP(#REF!,U10対戦スケジュール!#REF!,3,TRUE)</f>
        <v>#REF!</v>
      </c>
      <c r="AR80" s="151">
        <f ca="1">VLOOKUP(B80,U10対戦スケジュール!M$27:R$30,3,TRUE)</f>
        <v>4</v>
      </c>
      <c r="AS80" s="151">
        <f ca="1">VLOOKUP(B80,U10対戦スケジュール!M$27:R$30,5)</f>
        <v>6</v>
      </c>
    </row>
    <row r="81" spans="1:45" ht="20.100000000000001" customHeight="1" x14ac:dyDescent="0.4">
      <c r="B81" s="442"/>
      <c r="C81" s="464"/>
      <c r="D81" s="465"/>
      <c r="E81" s="466"/>
      <c r="F81" s="449"/>
      <c r="G81" s="449"/>
      <c r="H81" s="449"/>
      <c r="I81" s="449"/>
      <c r="J81" s="468"/>
      <c r="K81" s="468"/>
      <c r="L81" s="468"/>
      <c r="M81" s="468"/>
      <c r="N81" s="468"/>
      <c r="O81" s="468"/>
      <c r="P81" s="468"/>
      <c r="Q81" s="446"/>
      <c r="R81" s="446"/>
      <c r="S81" s="136">
        <v>1</v>
      </c>
      <c r="T81" s="137"/>
      <c r="U81" s="136">
        <v>4</v>
      </c>
      <c r="V81" s="446"/>
      <c r="W81" s="446"/>
      <c r="X81" s="468"/>
      <c r="Y81" s="468"/>
      <c r="Z81" s="468"/>
      <c r="AA81" s="468"/>
      <c r="AB81" s="468"/>
      <c r="AC81" s="468"/>
      <c r="AD81" s="468"/>
      <c r="AE81" s="449"/>
      <c r="AF81" s="449"/>
      <c r="AG81" s="449"/>
      <c r="AH81" s="449"/>
      <c r="AI81" s="449" t="e">
        <f>VLOOKUP(#REF!,U10対戦スケジュール!#REF!,3,TRUE)</f>
        <v>#REF!</v>
      </c>
      <c r="AJ81" s="449" t="e">
        <f>VLOOKUP(#REF!,U10対戦スケジュール!#REF!,3,TRUE)</f>
        <v>#REF!</v>
      </c>
      <c r="AK81" s="449" t="e">
        <f>VLOOKUP(#REF!,U10対戦スケジュール!#REF!,3,TRUE)</f>
        <v>#REF!</v>
      </c>
      <c r="AL81" s="449" t="e">
        <f>VLOOKUP(#REF!,U10対戦スケジュール!#REF!,3,TRUE)</f>
        <v>#REF!</v>
      </c>
      <c r="AM81" s="449" t="e">
        <f>VLOOKUP(#REF!,U10対戦スケジュール!#REF!,3,TRUE)</f>
        <v>#REF!</v>
      </c>
      <c r="AN81" s="449" t="e">
        <f>VLOOKUP(#REF!,U10対戦スケジュール!#REF!,3,TRUE)</f>
        <v>#REF!</v>
      </c>
      <c r="AO81" s="449" t="e">
        <f>VLOOKUP(#REF!,U10対戦スケジュール!#REF!,3,TRUE)</f>
        <v>#REF!</v>
      </c>
      <c r="AP81" s="449" t="e">
        <f>VLOOKUP(#REF!,U10対戦スケジュール!#REF!,3,TRUE)</f>
        <v>#REF!</v>
      </c>
      <c r="AR81" s="151"/>
      <c r="AS81" s="151"/>
    </row>
    <row r="82" spans="1:45" ht="20.100000000000001" customHeight="1" x14ac:dyDescent="0.4">
      <c r="B82" s="442"/>
      <c r="C82" s="450"/>
      <c r="D82" s="450"/>
      <c r="E82" s="450"/>
      <c r="F82" s="449"/>
      <c r="G82" s="449"/>
      <c r="H82" s="449"/>
      <c r="I82" s="449"/>
      <c r="J82" s="447"/>
      <c r="K82" s="448"/>
      <c r="L82" s="448"/>
      <c r="M82" s="448"/>
      <c r="N82" s="448"/>
      <c r="O82" s="448"/>
      <c r="P82" s="448"/>
      <c r="Q82" s="446"/>
      <c r="R82" s="446"/>
      <c r="S82" s="136"/>
      <c r="T82" s="137"/>
      <c r="U82" s="136"/>
      <c r="V82" s="446"/>
      <c r="W82" s="446"/>
      <c r="X82" s="447"/>
      <c r="Y82" s="448"/>
      <c r="Z82" s="448"/>
      <c r="AA82" s="448"/>
      <c r="AB82" s="448"/>
      <c r="AC82" s="448"/>
      <c r="AD82" s="448"/>
      <c r="AE82" s="449"/>
      <c r="AF82" s="449"/>
      <c r="AG82" s="449"/>
      <c r="AH82" s="449"/>
      <c r="AI82" s="446"/>
      <c r="AJ82" s="449"/>
      <c r="AK82" s="449"/>
      <c r="AL82" s="449"/>
      <c r="AM82" s="449"/>
      <c r="AN82" s="449"/>
      <c r="AO82" s="449"/>
      <c r="AP82" s="449"/>
      <c r="AR82" s="151"/>
      <c r="AS82" s="151"/>
    </row>
    <row r="83" spans="1:45" ht="20.100000000000001" customHeight="1" x14ac:dyDescent="0.4">
      <c r="B83" s="442"/>
      <c r="C83" s="450"/>
      <c r="D83" s="450"/>
      <c r="E83" s="450"/>
      <c r="F83" s="449"/>
      <c r="G83" s="449"/>
      <c r="H83" s="449"/>
      <c r="I83" s="449"/>
      <c r="J83" s="448"/>
      <c r="K83" s="448"/>
      <c r="L83" s="448"/>
      <c r="M83" s="448"/>
      <c r="N83" s="448"/>
      <c r="O83" s="448"/>
      <c r="P83" s="448"/>
      <c r="Q83" s="446"/>
      <c r="R83" s="446"/>
      <c r="S83" s="136"/>
      <c r="T83" s="137"/>
      <c r="U83" s="136"/>
      <c r="V83" s="446"/>
      <c r="W83" s="446"/>
      <c r="X83" s="448"/>
      <c r="Y83" s="448"/>
      <c r="Z83" s="448"/>
      <c r="AA83" s="448"/>
      <c r="AB83" s="448"/>
      <c r="AC83" s="448"/>
      <c r="AD83" s="448"/>
      <c r="AE83" s="449"/>
      <c r="AF83" s="449"/>
      <c r="AG83" s="449"/>
      <c r="AH83" s="449"/>
      <c r="AI83" s="449"/>
      <c r="AJ83" s="449"/>
      <c r="AK83" s="449"/>
      <c r="AL83" s="449"/>
      <c r="AM83" s="449"/>
      <c r="AN83" s="449"/>
      <c r="AO83" s="449"/>
      <c r="AP83" s="449"/>
      <c r="AR83" s="151"/>
      <c r="AS83" s="151"/>
    </row>
    <row r="84" spans="1:45" ht="20.100000000000001" customHeight="1" x14ac:dyDescent="0.4">
      <c r="B84" s="442"/>
      <c r="C84" s="450"/>
      <c r="D84" s="450"/>
      <c r="E84" s="450"/>
      <c r="F84" s="449"/>
      <c r="G84" s="449"/>
      <c r="H84" s="449"/>
      <c r="I84" s="449"/>
      <c r="J84" s="447"/>
      <c r="K84" s="448"/>
      <c r="L84" s="448"/>
      <c r="M84" s="448"/>
      <c r="N84" s="448"/>
      <c r="O84" s="448"/>
      <c r="P84" s="448"/>
      <c r="Q84" s="446"/>
      <c r="R84" s="446"/>
      <c r="S84" s="136"/>
      <c r="T84" s="137"/>
      <c r="U84" s="136"/>
      <c r="V84" s="446"/>
      <c r="W84" s="446"/>
      <c r="X84" s="447"/>
      <c r="Y84" s="448"/>
      <c r="Z84" s="448"/>
      <c r="AA84" s="448"/>
      <c r="AB84" s="448"/>
      <c r="AC84" s="448"/>
      <c r="AD84" s="448"/>
      <c r="AE84" s="449"/>
      <c r="AF84" s="449"/>
      <c r="AG84" s="449"/>
      <c r="AH84" s="449"/>
      <c r="AI84" s="446"/>
      <c r="AJ84" s="449"/>
      <c r="AK84" s="449"/>
      <c r="AL84" s="449"/>
      <c r="AM84" s="449"/>
      <c r="AN84" s="449"/>
      <c r="AO84" s="449"/>
      <c r="AP84" s="449"/>
      <c r="AR84" s="151"/>
      <c r="AS84" s="151"/>
    </row>
    <row r="85" spans="1:45" ht="20.100000000000001" customHeight="1" x14ac:dyDescent="0.4">
      <c r="B85" s="442"/>
      <c r="C85" s="450"/>
      <c r="D85" s="450"/>
      <c r="E85" s="450"/>
      <c r="F85" s="449"/>
      <c r="G85" s="449"/>
      <c r="H85" s="449"/>
      <c r="I85" s="449"/>
      <c r="J85" s="448"/>
      <c r="K85" s="448"/>
      <c r="L85" s="448"/>
      <c r="M85" s="448"/>
      <c r="N85" s="448"/>
      <c r="O85" s="448"/>
      <c r="P85" s="448"/>
      <c r="Q85" s="446"/>
      <c r="R85" s="446"/>
      <c r="S85" s="136"/>
      <c r="T85" s="137"/>
      <c r="U85" s="136"/>
      <c r="V85" s="446"/>
      <c r="W85" s="446"/>
      <c r="X85" s="448"/>
      <c r="Y85" s="448"/>
      <c r="Z85" s="448"/>
      <c r="AA85" s="448"/>
      <c r="AB85" s="448"/>
      <c r="AC85" s="448"/>
      <c r="AD85" s="448"/>
      <c r="AE85" s="449"/>
      <c r="AF85" s="449"/>
      <c r="AG85" s="449"/>
      <c r="AH85" s="449"/>
      <c r="AI85" s="449"/>
      <c r="AJ85" s="449"/>
      <c r="AK85" s="449"/>
      <c r="AL85" s="449"/>
      <c r="AM85" s="449"/>
      <c r="AN85" s="449"/>
      <c r="AO85" s="449"/>
      <c r="AP85" s="449"/>
      <c r="AR85" s="151"/>
      <c r="AS85" s="151"/>
    </row>
    <row r="86" spans="1:45" ht="20.100000000000001" customHeight="1" x14ac:dyDescent="0.4">
      <c r="B86" s="442"/>
      <c r="C86" s="450"/>
      <c r="D86" s="450"/>
      <c r="E86" s="450"/>
      <c r="F86" s="449"/>
      <c r="G86" s="449"/>
      <c r="H86" s="449"/>
      <c r="I86" s="449"/>
      <c r="J86" s="447"/>
      <c r="K86" s="448"/>
      <c r="L86" s="448"/>
      <c r="M86" s="448"/>
      <c r="N86" s="448"/>
      <c r="O86" s="448"/>
      <c r="P86" s="448"/>
      <c r="Q86" s="446"/>
      <c r="R86" s="446"/>
      <c r="S86" s="136"/>
      <c r="T86" s="137"/>
      <c r="U86" s="136"/>
      <c r="V86" s="446"/>
      <c r="W86" s="446"/>
      <c r="X86" s="447"/>
      <c r="Y86" s="448"/>
      <c r="Z86" s="448"/>
      <c r="AA86" s="448"/>
      <c r="AB86" s="448"/>
      <c r="AC86" s="448"/>
      <c r="AD86" s="448"/>
      <c r="AE86" s="449"/>
      <c r="AF86" s="449"/>
      <c r="AG86" s="449"/>
      <c r="AH86" s="449"/>
      <c r="AI86" s="446"/>
      <c r="AJ86" s="449"/>
      <c r="AK86" s="449"/>
      <c r="AL86" s="449"/>
      <c r="AM86" s="449"/>
      <c r="AN86" s="449"/>
      <c r="AO86" s="449"/>
      <c r="AP86" s="449"/>
      <c r="AR86" s="151"/>
      <c r="AS86" s="151"/>
    </row>
    <row r="87" spans="1:45" ht="20.100000000000001" customHeight="1" x14ac:dyDescent="0.4">
      <c r="B87" s="442"/>
      <c r="C87" s="450"/>
      <c r="D87" s="450"/>
      <c r="E87" s="450"/>
      <c r="F87" s="449"/>
      <c r="G87" s="449"/>
      <c r="H87" s="449"/>
      <c r="I87" s="449"/>
      <c r="J87" s="448"/>
      <c r="K87" s="448"/>
      <c r="L87" s="448"/>
      <c r="M87" s="448"/>
      <c r="N87" s="448"/>
      <c r="O87" s="448"/>
      <c r="P87" s="448"/>
      <c r="Q87" s="446"/>
      <c r="R87" s="446"/>
      <c r="S87" s="136"/>
      <c r="T87" s="137"/>
      <c r="U87" s="136"/>
      <c r="V87" s="446"/>
      <c r="W87" s="446"/>
      <c r="X87" s="448"/>
      <c r="Y87" s="448"/>
      <c r="Z87" s="448"/>
      <c r="AA87" s="448"/>
      <c r="AB87" s="448"/>
      <c r="AC87" s="448"/>
      <c r="AD87" s="448"/>
      <c r="AE87" s="449"/>
      <c r="AF87" s="449"/>
      <c r="AG87" s="449"/>
      <c r="AH87" s="449"/>
      <c r="AI87" s="449"/>
      <c r="AJ87" s="449"/>
      <c r="AK87" s="449"/>
      <c r="AL87" s="449"/>
      <c r="AM87" s="449"/>
      <c r="AN87" s="449"/>
      <c r="AO87" s="449"/>
      <c r="AP87" s="449"/>
    </row>
    <row r="88" spans="1:45" ht="15.75" customHeight="1" x14ac:dyDescent="0.4">
      <c r="A88" s="138"/>
      <c r="B88" s="139"/>
      <c r="C88" s="140"/>
      <c r="D88" s="140"/>
      <c r="E88" s="140"/>
      <c r="F88" s="139"/>
      <c r="G88" s="139"/>
      <c r="H88" s="139"/>
      <c r="I88" s="139"/>
      <c r="J88" s="139"/>
      <c r="K88" s="141"/>
      <c r="L88" s="141"/>
      <c r="M88" s="142"/>
      <c r="N88" s="143"/>
      <c r="O88" s="142"/>
      <c r="P88" s="141"/>
      <c r="Q88" s="141"/>
      <c r="R88" s="139"/>
      <c r="S88" s="139"/>
      <c r="T88" s="139"/>
      <c r="U88" s="139"/>
      <c r="V88" s="139"/>
      <c r="W88" s="144"/>
      <c r="X88" s="144"/>
      <c r="Y88" s="144"/>
      <c r="Z88" s="144"/>
      <c r="AA88" s="144"/>
      <c r="AB88" s="144"/>
      <c r="AC88" s="138"/>
    </row>
    <row r="89" spans="1:45" ht="20.25" customHeight="1" x14ac:dyDescent="0.4">
      <c r="D89" s="442" t="s">
        <v>9</v>
      </c>
      <c r="E89" s="442"/>
      <c r="F89" s="442"/>
      <c r="G89" s="442"/>
      <c r="H89" s="442"/>
      <c r="I89" s="442"/>
      <c r="J89" s="442" t="s">
        <v>5</v>
      </c>
      <c r="K89" s="442"/>
      <c r="L89" s="442"/>
      <c r="M89" s="442"/>
      <c r="N89" s="442"/>
      <c r="O89" s="442"/>
      <c r="P89" s="442"/>
      <c r="Q89" s="442"/>
      <c r="R89" s="443" t="s">
        <v>10</v>
      </c>
      <c r="S89" s="443"/>
      <c r="T89" s="443"/>
      <c r="U89" s="443"/>
      <c r="V89" s="443"/>
      <c r="W89" s="443"/>
      <c r="X89" s="443"/>
      <c r="Y89" s="443"/>
      <c r="Z89" s="443"/>
      <c r="AA89" s="444" t="s">
        <v>11</v>
      </c>
      <c r="AB89" s="444"/>
      <c r="AC89" s="444"/>
      <c r="AD89" s="444" t="s">
        <v>12</v>
      </c>
      <c r="AE89" s="444"/>
      <c r="AF89" s="444"/>
      <c r="AG89" s="444"/>
      <c r="AH89" s="444"/>
      <c r="AI89" s="444"/>
      <c r="AJ89" s="444"/>
      <c r="AK89" s="444"/>
      <c r="AL89" s="444"/>
      <c r="AM89" s="444"/>
    </row>
    <row r="90" spans="1:45" ht="30" customHeight="1" x14ac:dyDescent="0.4">
      <c r="D90" s="442" t="s">
        <v>13</v>
      </c>
      <c r="E90" s="442"/>
      <c r="F90" s="442"/>
      <c r="G90" s="442"/>
      <c r="H90" s="442"/>
      <c r="I90" s="442"/>
      <c r="J90" s="442"/>
      <c r="K90" s="442"/>
      <c r="L90" s="442"/>
      <c r="M90" s="442"/>
      <c r="N90" s="442"/>
      <c r="O90" s="442"/>
      <c r="P90" s="442"/>
      <c r="Q90" s="442"/>
      <c r="R90" s="443"/>
      <c r="S90" s="443"/>
      <c r="T90" s="443"/>
      <c r="U90" s="443"/>
      <c r="V90" s="443"/>
      <c r="W90" s="443"/>
      <c r="X90" s="443"/>
      <c r="Y90" s="443"/>
      <c r="Z90" s="443"/>
      <c r="AA90" s="445"/>
      <c r="AB90" s="445"/>
      <c r="AC90" s="445"/>
      <c r="AD90" s="441"/>
      <c r="AE90" s="441"/>
      <c r="AF90" s="441"/>
      <c r="AG90" s="441"/>
      <c r="AH90" s="441"/>
      <c r="AI90" s="441"/>
      <c r="AJ90" s="441"/>
      <c r="AK90" s="441"/>
      <c r="AL90" s="441"/>
      <c r="AM90" s="441"/>
    </row>
    <row r="91" spans="1:45" ht="30" customHeight="1" x14ac:dyDescent="0.4">
      <c r="D91" s="442" t="s">
        <v>13</v>
      </c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3"/>
      <c r="S91" s="443"/>
      <c r="T91" s="443"/>
      <c r="U91" s="443"/>
      <c r="V91" s="443"/>
      <c r="W91" s="443"/>
      <c r="X91" s="443"/>
      <c r="Y91" s="443"/>
      <c r="Z91" s="443"/>
      <c r="AA91" s="444"/>
      <c r="AB91" s="444"/>
      <c r="AC91" s="444"/>
      <c r="AD91" s="441"/>
      <c r="AE91" s="441"/>
      <c r="AF91" s="441"/>
      <c r="AG91" s="441"/>
      <c r="AH91" s="441"/>
      <c r="AI91" s="441"/>
      <c r="AJ91" s="441"/>
      <c r="AK91" s="441"/>
      <c r="AL91" s="441"/>
      <c r="AM91" s="441"/>
    </row>
    <row r="92" spans="1:45" ht="30" customHeight="1" x14ac:dyDescent="0.4">
      <c r="D92" s="442" t="s">
        <v>13</v>
      </c>
      <c r="E92" s="442"/>
      <c r="F92" s="442"/>
      <c r="G92" s="442"/>
      <c r="H92" s="442"/>
      <c r="I92" s="442"/>
      <c r="J92" s="442"/>
      <c r="K92" s="442"/>
      <c r="L92" s="442"/>
      <c r="M92" s="442"/>
      <c r="N92" s="442"/>
      <c r="O92" s="442"/>
      <c r="P92" s="442"/>
      <c r="Q92" s="442"/>
      <c r="R92" s="443"/>
      <c r="S92" s="443"/>
      <c r="T92" s="443"/>
      <c r="U92" s="443"/>
      <c r="V92" s="443"/>
      <c r="W92" s="443"/>
      <c r="X92" s="443"/>
      <c r="Y92" s="443"/>
      <c r="Z92" s="443"/>
      <c r="AA92" s="444"/>
      <c r="AB92" s="444"/>
      <c r="AC92" s="444"/>
      <c r="AD92" s="441"/>
      <c r="AE92" s="441"/>
      <c r="AF92" s="441"/>
      <c r="AG92" s="441"/>
      <c r="AH92" s="441"/>
      <c r="AI92" s="441"/>
      <c r="AJ92" s="441"/>
      <c r="AK92" s="441"/>
      <c r="AL92" s="441"/>
      <c r="AM92" s="441"/>
    </row>
    <row r="93" spans="1:45" ht="30" customHeight="1" x14ac:dyDescent="0.4">
      <c r="D93" s="442" t="s">
        <v>13</v>
      </c>
      <c r="E93" s="442"/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3"/>
      <c r="S93" s="443"/>
      <c r="T93" s="443"/>
      <c r="U93" s="443"/>
      <c r="V93" s="443"/>
      <c r="W93" s="443"/>
      <c r="X93" s="443"/>
      <c r="Y93" s="443"/>
      <c r="Z93" s="443"/>
      <c r="AA93" s="444"/>
      <c r="AB93" s="444"/>
      <c r="AC93" s="444"/>
      <c r="AD93" s="441"/>
      <c r="AE93" s="441"/>
      <c r="AF93" s="441"/>
      <c r="AG93" s="441"/>
      <c r="AH93" s="441"/>
      <c r="AI93" s="441"/>
      <c r="AJ93" s="441"/>
      <c r="AK93" s="441"/>
      <c r="AL93" s="441"/>
      <c r="AM93" s="441"/>
    </row>
    <row r="95" spans="1:45" ht="14.25" customHeight="1" x14ac:dyDescent="0.4">
      <c r="A95" s="274"/>
      <c r="B95" s="489" t="str">
        <f>U10組合せ!$B$1</f>
        <v>ＪＦＡ　Ｕ-１０サッカーリーグ2021（in栃木） 宇都宮地区リーグ戦（前期）</v>
      </c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89"/>
      <c r="X95" s="489"/>
      <c r="Y95" s="489"/>
      <c r="Z95" s="489"/>
      <c r="AA95" s="489"/>
      <c r="AB95" s="489"/>
      <c r="AC95" s="490" t="str">
        <f>"【"&amp;(U10組合せ!$H$3)&amp;"】"</f>
        <v>【Ｃ ブロック】</v>
      </c>
      <c r="AD95" s="490"/>
      <c r="AE95" s="490"/>
      <c r="AF95" s="490"/>
      <c r="AG95" s="490"/>
      <c r="AH95" s="490"/>
      <c r="AI95" s="490"/>
      <c r="AJ95" s="490"/>
      <c r="AK95" s="490" t="str">
        <f>"第"&amp;(U10組合せ!$F$25)</f>
        <v>第２節</v>
      </c>
      <c r="AL95" s="490"/>
      <c r="AM95" s="490"/>
      <c r="AN95" s="490"/>
      <c r="AO95" s="490"/>
      <c r="AP95" s="491" t="s">
        <v>196</v>
      </c>
      <c r="AQ95" s="492"/>
    </row>
    <row r="96" spans="1:45" ht="22.5" customHeight="1" x14ac:dyDescent="0.4">
      <c r="A96" s="274"/>
      <c r="B96" s="489"/>
      <c r="C96" s="489"/>
      <c r="D96" s="489"/>
      <c r="E96" s="489"/>
      <c r="F96" s="489"/>
      <c r="G96" s="489"/>
      <c r="H96" s="489"/>
      <c r="I96" s="489"/>
      <c r="J96" s="489"/>
      <c r="K96" s="489"/>
      <c r="L96" s="489"/>
      <c r="M96" s="489"/>
      <c r="N96" s="489"/>
      <c r="O96" s="489"/>
      <c r="P96" s="489"/>
      <c r="Q96" s="489"/>
      <c r="R96" s="489"/>
      <c r="S96" s="489"/>
      <c r="T96" s="489"/>
      <c r="U96" s="489"/>
      <c r="V96" s="489"/>
      <c r="W96" s="489"/>
      <c r="X96" s="489"/>
      <c r="Y96" s="489"/>
      <c r="Z96" s="489"/>
      <c r="AA96" s="489"/>
      <c r="AB96" s="489"/>
      <c r="AC96" s="490"/>
      <c r="AD96" s="490"/>
      <c r="AE96" s="490"/>
      <c r="AF96" s="490"/>
      <c r="AG96" s="490"/>
      <c r="AH96" s="490"/>
      <c r="AI96" s="490"/>
      <c r="AJ96" s="490"/>
      <c r="AK96" s="490"/>
      <c r="AL96" s="490"/>
      <c r="AM96" s="490"/>
      <c r="AN96" s="490"/>
      <c r="AO96" s="490"/>
      <c r="AP96" s="492"/>
      <c r="AQ96" s="492"/>
    </row>
    <row r="97" spans="2:45" ht="27.75" customHeight="1" x14ac:dyDescent="0.4">
      <c r="C97" s="477" t="s">
        <v>1</v>
      </c>
      <c r="D97" s="477"/>
      <c r="E97" s="477"/>
      <c r="F97" s="477"/>
      <c r="G97" s="478" t="str">
        <f>U10組合せ!I27</f>
        <v>GP白沢 南 AM</v>
      </c>
      <c r="H97" s="479"/>
      <c r="I97" s="479"/>
      <c r="J97" s="479"/>
      <c r="K97" s="479"/>
      <c r="L97" s="479"/>
      <c r="M97" s="479"/>
      <c r="N97" s="479"/>
      <c r="O97" s="480"/>
      <c r="P97" s="477" t="s">
        <v>0</v>
      </c>
      <c r="Q97" s="477"/>
      <c r="R97" s="477"/>
      <c r="S97" s="477"/>
      <c r="T97" s="481" t="str">
        <f>AG99</f>
        <v>FC　Riso</v>
      </c>
      <c r="U97" s="481"/>
      <c r="V97" s="481"/>
      <c r="W97" s="481"/>
      <c r="X97" s="481"/>
      <c r="Y97" s="481"/>
      <c r="Z97" s="481"/>
      <c r="AA97" s="481"/>
      <c r="AB97" s="481"/>
      <c r="AC97" s="477" t="s">
        <v>2</v>
      </c>
      <c r="AD97" s="477"/>
      <c r="AE97" s="477"/>
      <c r="AF97" s="477"/>
      <c r="AG97" s="482">
        <f>U10組合せ!B$25</f>
        <v>44310</v>
      </c>
      <c r="AH97" s="483"/>
      <c r="AI97" s="483"/>
      <c r="AJ97" s="483"/>
      <c r="AK97" s="483"/>
      <c r="AL97" s="483"/>
      <c r="AM97" s="484" t="str">
        <f>"（"&amp;TEXT(AG97,"aaa")&amp;"）"</f>
        <v>（土）</v>
      </c>
      <c r="AN97" s="484"/>
      <c r="AO97" s="485"/>
    </row>
    <row r="98" spans="2:45" ht="15" customHeight="1" x14ac:dyDescent="0.4">
      <c r="C98" s="134" t="str">
        <f>U10組合せ!I28</f>
        <v>C137</v>
      </c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3"/>
      <c r="X98" s="133"/>
      <c r="Y98" s="133"/>
      <c r="Z98" s="133"/>
      <c r="AA98" s="133"/>
      <c r="AB98" s="133"/>
      <c r="AC98" s="133"/>
    </row>
    <row r="99" spans="2:45" s="155" customFormat="1" ht="29.25" customHeight="1" x14ac:dyDescent="0.4">
      <c r="B99" s="134"/>
      <c r="C99" s="481">
        <v>1</v>
      </c>
      <c r="D99" s="481"/>
      <c r="E99" s="488" t="str">
        <f>VLOOKUP(C99,U10組合せ!$B$10:$I$17,7,TRUE)</f>
        <v>宇大付属小SSS　U-10</v>
      </c>
      <c r="F99" s="488"/>
      <c r="G99" s="488"/>
      <c r="H99" s="488"/>
      <c r="I99" s="488"/>
      <c r="J99" s="488"/>
      <c r="K99" s="488"/>
      <c r="L99" s="488"/>
      <c r="M99" s="488"/>
      <c r="N99" s="488"/>
      <c r="O99" s="148"/>
      <c r="P99" s="148"/>
      <c r="Q99" s="486">
        <v>4</v>
      </c>
      <c r="R99" s="486"/>
      <c r="S99" s="487" t="str">
        <f>VLOOKUP(Q99,U10組合せ!$B$10:$I$17,7,TRUE)</f>
        <v>緑ヶ丘YFC</v>
      </c>
      <c r="T99" s="487"/>
      <c r="U99" s="487"/>
      <c r="V99" s="487"/>
      <c r="W99" s="487"/>
      <c r="X99" s="487"/>
      <c r="Y99" s="487"/>
      <c r="Z99" s="487"/>
      <c r="AA99" s="487"/>
      <c r="AB99" s="487"/>
      <c r="AC99" s="131"/>
      <c r="AD99" s="132"/>
      <c r="AE99" s="481">
        <v>7</v>
      </c>
      <c r="AF99" s="481"/>
      <c r="AG99" s="488" t="str">
        <f>VLOOKUP(AE99,U10組合せ!$B$10:$I$17,7,TRUE)</f>
        <v>FC　Riso</v>
      </c>
      <c r="AH99" s="488"/>
      <c r="AI99" s="488"/>
      <c r="AJ99" s="488"/>
      <c r="AK99" s="488"/>
      <c r="AL99" s="488"/>
      <c r="AM99" s="488"/>
      <c r="AN99" s="488"/>
      <c r="AO99" s="488"/>
      <c r="AP99" s="488"/>
      <c r="AR99" s="155">
        <f>106/2</f>
        <v>53</v>
      </c>
    </row>
    <row r="100" spans="2:45" s="155" customFormat="1" ht="29.25" customHeight="1" x14ac:dyDescent="0.4">
      <c r="C100" s="486">
        <v>2</v>
      </c>
      <c r="D100" s="486"/>
      <c r="E100" s="487" t="str">
        <f>VLOOKUP(C100,U10組合せ!$B$10:$I$17,7,TRUE)</f>
        <v>S4スぺランツァ</v>
      </c>
      <c r="F100" s="487"/>
      <c r="G100" s="487"/>
      <c r="H100" s="487"/>
      <c r="I100" s="487"/>
      <c r="J100" s="487"/>
      <c r="K100" s="487"/>
      <c r="L100" s="487"/>
      <c r="M100" s="487"/>
      <c r="N100" s="487"/>
      <c r="O100" s="148"/>
      <c r="P100" s="148"/>
      <c r="Q100" s="486">
        <v>5</v>
      </c>
      <c r="R100" s="486"/>
      <c r="S100" s="487" t="str">
        <f>VLOOKUP(Q100,U10組合せ!$B$10:$I$17,7,TRUE)</f>
        <v>カテット白沢</v>
      </c>
      <c r="T100" s="487"/>
      <c r="U100" s="487"/>
      <c r="V100" s="487"/>
      <c r="W100" s="487"/>
      <c r="X100" s="487"/>
      <c r="Y100" s="487"/>
      <c r="Z100" s="487"/>
      <c r="AA100" s="487"/>
      <c r="AB100" s="487"/>
      <c r="AC100" s="131"/>
      <c r="AD100" s="132"/>
      <c r="AE100" s="486">
        <v>8</v>
      </c>
      <c r="AF100" s="486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R100" s="155">
        <v>35</v>
      </c>
    </row>
    <row r="101" spans="2:45" s="155" customFormat="1" ht="29.25" customHeight="1" x14ac:dyDescent="0.4">
      <c r="C101" s="481">
        <v>3</v>
      </c>
      <c r="D101" s="481"/>
      <c r="E101" s="488" t="str">
        <f>VLOOKUP(C101,U10組合せ!$B$10:$I$17,7,TRUE)</f>
        <v>豊郷JFC宇都宮U-10</v>
      </c>
      <c r="F101" s="488"/>
      <c r="G101" s="488"/>
      <c r="H101" s="488"/>
      <c r="I101" s="488"/>
      <c r="J101" s="488"/>
      <c r="K101" s="488"/>
      <c r="L101" s="488"/>
      <c r="M101" s="488"/>
      <c r="N101" s="488"/>
      <c r="O101" s="148"/>
      <c r="P101" s="148"/>
      <c r="Q101" s="486">
        <v>6</v>
      </c>
      <c r="R101" s="486"/>
      <c r="S101" s="487" t="str">
        <f>VLOOKUP(Q101,U10組合せ!$B$10:$I$17,7,TRUE)</f>
        <v>FC みらい</v>
      </c>
      <c r="T101" s="487"/>
      <c r="U101" s="487"/>
      <c r="V101" s="487"/>
      <c r="W101" s="487"/>
      <c r="X101" s="487"/>
      <c r="Y101" s="487"/>
      <c r="Z101" s="487"/>
      <c r="AA101" s="487"/>
      <c r="AB101" s="487"/>
      <c r="AC101" s="131"/>
      <c r="AD101" s="132"/>
      <c r="AE101" s="486">
        <v>9</v>
      </c>
      <c r="AF101" s="486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R101" s="155">
        <f>AR99-AR100</f>
        <v>18</v>
      </c>
    </row>
    <row r="102" spans="2:45" ht="8.25" customHeight="1" x14ac:dyDescent="0.4">
      <c r="O102" s="138"/>
      <c r="P102" s="138"/>
      <c r="AC102" s="133"/>
    </row>
    <row r="103" spans="2:45" ht="8.25" customHeight="1" x14ac:dyDescent="0.4">
      <c r="C103" s="149"/>
      <c r="D103" s="150"/>
      <c r="E103" s="150"/>
      <c r="F103" s="150"/>
      <c r="G103" s="150"/>
      <c r="H103" s="150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50"/>
      <c r="U103" s="138"/>
      <c r="V103" s="150"/>
      <c r="W103" s="138"/>
      <c r="X103" s="150"/>
      <c r="Y103" s="138"/>
      <c r="Z103" s="150"/>
      <c r="AA103" s="138"/>
      <c r="AB103" s="150"/>
      <c r="AC103" s="150"/>
    </row>
    <row r="104" spans="2:45" ht="21" customHeight="1" x14ac:dyDescent="0.4">
      <c r="B104" s="134" t="s">
        <v>181</v>
      </c>
    </row>
    <row r="105" spans="2:45" ht="20.25" customHeight="1" x14ac:dyDescent="0.4">
      <c r="B105" s="135"/>
      <c r="C105" s="469" t="s">
        <v>3</v>
      </c>
      <c r="D105" s="469"/>
      <c r="E105" s="469"/>
      <c r="F105" s="470" t="s">
        <v>4</v>
      </c>
      <c r="G105" s="470"/>
      <c r="H105" s="470"/>
      <c r="I105" s="470"/>
      <c r="J105" s="469" t="s">
        <v>5</v>
      </c>
      <c r="K105" s="471"/>
      <c r="L105" s="471"/>
      <c r="M105" s="471"/>
      <c r="N105" s="471"/>
      <c r="O105" s="471"/>
      <c r="P105" s="471"/>
      <c r="Q105" s="469" t="s">
        <v>40</v>
      </c>
      <c r="R105" s="469"/>
      <c r="S105" s="469"/>
      <c r="T105" s="469"/>
      <c r="U105" s="469"/>
      <c r="V105" s="469"/>
      <c r="W105" s="469"/>
      <c r="X105" s="469" t="s">
        <v>5</v>
      </c>
      <c r="Y105" s="471"/>
      <c r="Z105" s="471"/>
      <c r="AA105" s="471"/>
      <c r="AB105" s="471"/>
      <c r="AC105" s="471"/>
      <c r="AD105" s="471"/>
      <c r="AE105" s="470" t="s">
        <v>4</v>
      </c>
      <c r="AF105" s="470"/>
      <c r="AG105" s="470"/>
      <c r="AH105" s="470"/>
      <c r="AI105" s="469" t="s">
        <v>7</v>
      </c>
      <c r="AJ105" s="469"/>
      <c r="AK105" s="471"/>
      <c r="AL105" s="471"/>
      <c r="AM105" s="471"/>
      <c r="AN105" s="471"/>
      <c r="AO105" s="471"/>
      <c r="AP105" s="471"/>
    </row>
    <row r="106" spans="2:45" ht="20.100000000000001" customHeight="1" x14ac:dyDescent="0.4">
      <c r="B106" s="442" t="str">
        <f ca="1">DBCS(INDIRECT("U10対戦スケジュール!M"&amp;(ROW())/2-18))</f>
        <v>①</v>
      </c>
      <c r="C106" s="461">
        <f ca="1">VLOOKUP(B106,U10対戦スケジュール!M$35:R$38,2,TRUE)</f>
        <v>0.375</v>
      </c>
      <c r="D106" s="462"/>
      <c r="E106" s="463"/>
      <c r="F106" s="449"/>
      <c r="G106" s="449"/>
      <c r="H106" s="449"/>
      <c r="I106" s="449"/>
      <c r="J106" s="467" t="str">
        <f ca="1">VLOOKUP(AR106,U10組合せ!$B$10:$I$17,7,TRUE)</f>
        <v>宇大付属小SSS　U-10</v>
      </c>
      <c r="K106" s="468"/>
      <c r="L106" s="468"/>
      <c r="M106" s="468"/>
      <c r="N106" s="468"/>
      <c r="O106" s="468"/>
      <c r="P106" s="468"/>
      <c r="Q106" s="446">
        <f>IF(OR(S106="",S107=""),"",S106+S107)</f>
        <v>0</v>
      </c>
      <c r="R106" s="446"/>
      <c r="S106" s="136">
        <v>0</v>
      </c>
      <c r="T106" s="137" t="s">
        <v>8</v>
      </c>
      <c r="U106" s="136">
        <v>0</v>
      </c>
      <c r="V106" s="446">
        <f>IF(OR(U106="",U107=""),"",U106+U107)</f>
        <v>1</v>
      </c>
      <c r="W106" s="446"/>
      <c r="X106" s="467" t="str">
        <f ca="1">VLOOKUP(AS106,U10組合せ!$B$10:$I$17,7,TRUE)</f>
        <v>豊郷JFC宇都宮U-10</v>
      </c>
      <c r="Y106" s="468"/>
      <c r="Z106" s="468"/>
      <c r="AA106" s="468"/>
      <c r="AB106" s="468"/>
      <c r="AC106" s="468"/>
      <c r="AD106" s="468"/>
      <c r="AE106" s="449"/>
      <c r="AF106" s="449"/>
      <c r="AG106" s="449"/>
      <c r="AH106" s="449"/>
      <c r="AI106" s="446" t="str">
        <f ca="1">DBCS(VLOOKUP(B106,U10対戦スケジュール!M$35:R$38,6,TRUE))</f>
        <v>７／１／３／７</v>
      </c>
      <c r="AJ106" s="449" t="e">
        <f>VLOOKUP(#REF!,U10対戦スケジュール!#REF!,3,TRUE)</f>
        <v>#REF!</v>
      </c>
      <c r="AK106" s="449" t="e">
        <f>VLOOKUP(#REF!,U10対戦スケジュール!#REF!,3,TRUE)</f>
        <v>#REF!</v>
      </c>
      <c r="AL106" s="449" t="e">
        <f>VLOOKUP(#REF!,U10対戦スケジュール!#REF!,3,TRUE)</f>
        <v>#REF!</v>
      </c>
      <c r="AM106" s="449" t="e">
        <f>VLOOKUP(#REF!,U10対戦スケジュール!#REF!,3,TRUE)</f>
        <v>#REF!</v>
      </c>
      <c r="AN106" s="449" t="e">
        <f>VLOOKUP(#REF!,U10対戦スケジュール!#REF!,3,TRUE)</f>
        <v>#REF!</v>
      </c>
      <c r="AO106" s="449" t="e">
        <f>VLOOKUP(#REF!,U10対戦スケジュール!#REF!,3,TRUE)</f>
        <v>#REF!</v>
      </c>
      <c r="AP106" s="449" t="e">
        <f>VLOOKUP(#REF!,U10対戦スケジュール!#REF!,3,TRUE)</f>
        <v>#REF!</v>
      </c>
      <c r="AR106" s="151">
        <f ca="1">VLOOKUP(B106,U10対戦スケジュール!M$35:R$38,3,TRUE)</f>
        <v>1</v>
      </c>
      <c r="AS106" s="151">
        <f ca="1">VLOOKUP(B106,U10対戦スケジュール!M$35:R$38,5)</f>
        <v>3</v>
      </c>
    </row>
    <row r="107" spans="2:45" ht="20.100000000000001" customHeight="1" x14ac:dyDescent="0.4">
      <c r="B107" s="442"/>
      <c r="C107" s="464"/>
      <c r="D107" s="465"/>
      <c r="E107" s="466"/>
      <c r="F107" s="449"/>
      <c r="G107" s="449"/>
      <c r="H107" s="449"/>
      <c r="I107" s="449"/>
      <c r="J107" s="468"/>
      <c r="K107" s="468"/>
      <c r="L107" s="468"/>
      <c r="M107" s="468"/>
      <c r="N107" s="468"/>
      <c r="O107" s="468"/>
      <c r="P107" s="468"/>
      <c r="Q107" s="446"/>
      <c r="R107" s="446"/>
      <c r="S107" s="136">
        <v>0</v>
      </c>
      <c r="T107" s="137" t="s">
        <v>8</v>
      </c>
      <c r="U107" s="136">
        <v>1</v>
      </c>
      <c r="V107" s="446"/>
      <c r="W107" s="446"/>
      <c r="X107" s="468"/>
      <c r="Y107" s="468"/>
      <c r="Z107" s="468"/>
      <c r="AA107" s="468"/>
      <c r="AB107" s="468"/>
      <c r="AC107" s="468"/>
      <c r="AD107" s="468"/>
      <c r="AE107" s="449"/>
      <c r="AF107" s="449"/>
      <c r="AG107" s="449"/>
      <c r="AH107" s="449"/>
      <c r="AI107" s="449" t="e">
        <f>VLOOKUP(#REF!,U10対戦スケジュール!#REF!,3,TRUE)</f>
        <v>#REF!</v>
      </c>
      <c r="AJ107" s="449" t="e">
        <f>VLOOKUP(#REF!,U10対戦スケジュール!#REF!,3,TRUE)</f>
        <v>#REF!</v>
      </c>
      <c r="AK107" s="449" t="e">
        <f>VLOOKUP(#REF!,U10対戦スケジュール!#REF!,3,TRUE)</f>
        <v>#REF!</v>
      </c>
      <c r="AL107" s="449" t="e">
        <f>VLOOKUP(#REF!,U10対戦スケジュール!#REF!,3,TRUE)</f>
        <v>#REF!</v>
      </c>
      <c r="AM107" s="449" t="e">
        <f>VLOOKUP(#REF!,U10対戦スケジュール!#REF!,3,TRUE)</f>
        <v>#REF!</v>
      </c>
      <c r="AN107" s="449" t="e">
        <f>VLOOKUP(#REF!,U10対戦スケジュール!#REF!,3,TRUE)</f>
        <v>#REF!</v>
      </c>
      <c r="AO107" s="449" t="e">
        <f>VLOOKUP(#REF!,U10対戦スケジュール!#REF!,3,TRUE)</f>
        <v>#REF!</v>
      </c>
      <c r="AP107" s="449" t="e">
        <f>VLOOKUP(#REF!,U10対戦スケジュール!#REF!,3,TRUE)</f>
        <v>#REF!</v>
      </c>
      <c r="AR107" s="151"/>
      <c r="AS107" s="151"/>
    </row>
    <row r="108" spans="2:45" ht="20.100000000000001" customHeight="1" x14ac:dyDescent="0.4">
      <c r="B108" s="442" t="str">
        <f ca="1">DBCS(INDIRECT("U10対戦スケジュール!M"&amp;(ROW())/2-18))</f>
        <v>②</v>
      </c>
      <c r="C108" s="461">
        <f ca="1">VLOOKUP(B108,U10対戦スケジュール!M$35:R$38,2,TRUE)</f>
        <v>0.41000000000000003</v>
      </c>
      <c r="D108" s="462"/>
      <c r="E108" s="463"/>
      <c r="F108" s="449"/>
      <c r="G108" s="449"/>
      <c r="H108" s="449"/>
      <c r="I108" s="449"/>
      <c r="J108" s="467" t="str">
        <f ca="1">VLOOKUP(AR108,U10組合せ!$B$10:$I$17,7,TRUE)</f>
        <v>豊郷JFC宇都宮U-10</v>
      </c>
      <c r="K108" s="468"/>
      <c r="L108" s="468"/>
      <c r="M108" s="468"/>
      <c r="N108" s="468"/>
      <c r="O108" s="468"/>
      <c r="P108" s="468"/>
      <c r="Q108" s="446">
        <f>IF(OR(S108="",S109=""),"",S108+S109)</f>
        <v>0</v>
      </c>
      <c r="R108" s="446"/>
      <c r="S108" s="136">
        <v>0</v>
      </c>
      <c r="T108" s="137" t="s">
        <v>8</v>
      </c>
      <c r="U108" s="136">
        <v>3</v>
      </c>
      <c r="V108" s="446">
        <f>IF(OR(U108="",U109=""),"",U108+U109)</f>
        <v>3</v>
      </c>
      <c r="W108" s="446"/>
      <c r="X108" s="467" t="str">
        <f ca="1">VLOOKUP(AS108,U10組合せ!$B$10:$I$17,7,TRUE)</f>
        <v>FC　Riso</v>
      </c>
      <c r="Y108" s="468"/>
      <c r="Z108" s="468"/>
      <c r="AA108" s="468"/>
      <c r="AB108" s="468"/>
      <c r="AC108" s="468"/>
      <c r="AD108" s="468"/>
      <c r="AE108" s="449"/>
      <c r="AF108" s="449"/>
      <c r="AG108" s="449"/>
      <c r="AH108" s="449"/>
      <c r="AI108" s="446" t="str">
        <f ca="1">DBCS(VLOOKUP(B108,U10対戦スケジュール!M$35:R$38,6,TRUE))</f>
        <v>１／３／７／１</v>
      </c>
      <c r="AJ108" s="449" t="e">
        <f>VLOOKUP(#REF!,U10対戦スケジュール!#REF!,3,TRUE)</f>
        <v>#REF!</v>
      </c>
      <c r="AK108" s="449" t="e">
        <f>VLOOKUP(#REF!,U10対戦スケジュール!#REF!,3,TRUE)</f>
        <v>#REF!</v>
      </c>
      <c r="AL108" s="449" t="e">
        <f>VLOOKUP(#REF!,U10対戦スケジュール!#REF!,3,TRUE)</f>
        <v>#REF!</v>
      </c>
      <c r="AM108" s="449" t="e">
        <f>VLOOKUP(#REF!,U10対戦スケジュール!#REF!,3,TRUE)</f>
        <v>#REF!</v>
      </c>
      <c r="AN108" s="449" t="e">
        <f>VLOOKUP(#REF!,U10対戦スケジュール!#REF!,3,TRUE)</f>
        <v>#REF!</v>
      </c>
      <c r="AO108" s="449" t="e">
        <f>VLOOKUP(#REF!,U10対戦スケジュール!#REF!,3,TRUE)</f>
        <v>#REF!</v>
      </c>
      <c r="AP108" s="449" t="e">
        <f>VLOOKUP(#REF!,U10対戦スケジュール!#REF!,3,TRUE)</f>
        <v>#REF!</v>
      </c>
      <c r="AR108" s="151">
        <f ca="1">VLOOKUP(B108,U10対戦スケジュール!M$35:R$38,3,TRUE)</f>
        <v>3</v>
      </c>
      <c r="AS108" s="151">
        <f ca="1">VLOOKUP(B108,U10対戦スケジュール!M$35:R$38,5)</f>
        <v>7</v>
      </c>
    </row>
    <row r="109" spans="2:45" ht="20.100000000000001" customHeight="1" x14ac:dyDescent="0.4">
      <c r="B109" s="442"/>
      <c r="C109" s="464"/>
      <c r="D109" s="465"/>
      <c r="E109" s="466"/>
      <c r="F109" s="449"/>
      <c r="G109" s="449"/>
      <c r="H109" s="449"/>
      <c r="I109" s="449"/>
      <c r="J109" s="468"/>
      <c r="K109" s="468"/>
      <c r="L109" s="468"/>
      <c r="M109" s="468"/>
      <c r="N109" s="468"/>
      <c r="O109" s="468"/>
      <c r="P109" s="468"/>
      <c r="Q109" s="446"/>
      <c r="R109" s="446"/>
      <c r="S109" s="136">
        <v>0</v>
      </c>
      <c r="T109" s="137" t="s">
        <v>8</v>
      </c>
      <c r="U109" s="136">
        <v>0</v>
      </c>
      <c r="V109" s="446"/>
      <c r="W109" s="446"/>
      <c r="X109" s="468"/>
      <c r="Y109" s="468"/>
      <c r="Z109" s="468"/>
      <c r="AA109" s="468"/>
      <c r="AB109" s="468"/>
      <c r="AC109" s="468"/>
      <c r="AD109" s="468"/>
      <c r="AE109" s="449"/>
      <c r="AF109" s="449"/>
      <c r="AG109" s="449"/>
      <c r="AH109" s="449"/>
      <c r="AI109" s="449" t="e">
        <f>VLOOKUP(#REF!,U10対戦スケジュール!#REF!,3,TRUE)</f>
        <v>#REF!</v>
      </c>
      <c r="AJ109" s="449" t="e">
        <f>VLOOKUP(#REF!,U10対戦スケジュール!#REF!,3,TRUE)</f>
        <v>#REF!</v>
      </c>
      <c r="AK109" s="449" t="e">
        <f>VLOOKUP(#REF!,U10対戦スケジュール!#REF!,3,TRUE)</f>
        <v>#REF!</v>
      </c>
      <c r="AL109" s="449" t="e">
        <f>VLOOKUP(#REF!,U10対戦スケジュール!#REF!,3,TRUE)</f>
        <v>#REF!</v>
      </c>
      <c r="AM109" s="449" t="e">
        <f>VLOOKUP(#REF!,U10対戦スケジュール!#REF!,3,TRUE)</f>
        <v>#REF!</v>
      </c>
      <c r="AN109" s="449" t="e">
        <f>VLOOKUP(#REF!,U10対戦スケジュール!#REF!,3,TRUE)</f>
        <v>#REF!</v>
      </c>
      <c r="AO109" s="449" t="e">
        <f>VLOOKUP(#REF!,U10対戦スケジュール!#REF!,3,TRUE)</f>
        <v>#REF!</v>
      </c>
      <c r="AP109" s="449" t="e">
        <f>VLOOKUP(#REF!,U10対戦スケジュール!#REF!,3,TRUE)</f>
        <v>#REF!</v>
      </c>
    </row>
    <row r="110" spans="2:45" ht="20.100000000000001" customHeight="1" x14ac:dyDescent="0.4">
      <c r="B110" s="442" t="str">
        <f ca="1">DBCS(INDIRECT("U10対戦スケジュール!M"&amp;(ROW())/2-18))</f>
        <v>③</v>
      </c>
      <c r="C110" s="461">
        <f ca="1">VLOOKUP(B110,U10対戦スケジュール!M$35:R$38,2,TRUE)</f>
        <v>0.44500000000000006</v>
      </c>
      <c r="D110" s="462"/>
      <c r="E110" s="463"/>
      <c r="F110" s="449"/>
      <c r="G110" s="449"/>
      <c r="H110" s="449"/>
      <c r="I110" s="449"/>
      <c r="J110" s="467" t="str">
        <f ca="1">VLOOKUP(AR110,U10組合せ!$B$10:$I$17,7,TRUE)</f>
        <v>宇大付属小SSS　U-10</v>
      </c>
      <c r="K110" s="468"/>
      <c r="L110" s="468"/>
      <c r="M110" s="468"/>
      <c r="N110" s="468"/>
      <c r="O110" s="468"/>
      <c r="P110" s="468"/>
      <c r="Q110" s="446">
        <f>IF(OR(S110="",S111=""),"",S110+S111)</f>
        <v>0</v>
      </c>
      <c r="R110" s="446"/>
      <c r="S110" s="136">
        <v>0</v>
      </c>
      <c r="T110" s="137"/>
      <c r="U110" s="136">
        <v>5</v>
      </c>
      <c r="V110" s="446">
        <f>IF(OR(U110="",U111=""),"",U110+U111)</f>
        <v>6</v>
      </c>
      <c r="W110" s="446"/>
      <c r="X110" s="467" t="str">
        <f ca="1">VLOOKUP(AS110,U10組合せ!$B$10:$I$17,7,TRUE)</f>
        <v>FC　Riso</v>
      </c>
      <c r="Y110" s="468"/>
      <c r="Z110" s="468"/>
      <c r="AA110" s="468"/>
      <c r="AB110" s="468"/>
      <c r="AC110" s="468"/>
      <c r="AD110" s="468"/>
      <c r="AE110" s="449"/>
      <c r="AF110" s="449"/>
      <c r="AG110" s="449"/>
      <c r="AH110" s="449"/>
      <c r="AI110" s="446" t="str">
        <f ca="1">DBCS(VLOOKUP(B110,U10対戦スケジュール!M$35:R$38,6,TRUE))</f>
        <v>３／７／１／３</v>
      </c>
      <c r="AJ110" s="449" t="e">
        <f>VLOOKUP(#REF!,U10対戦スケジュール!#REF!,3,TRUE)</f>
        <v>#REF!</v>
      </c>
      <c r="AK110" s="449" t="e">
        <f>VLOOKUP(#REF!,U10対戦スケジュール!#REF!,3,TRUE)</f>
        <v>#REF!</v>
      </c>
      <c r="AL110" s="449" t="e">
        <f>VLOOKUP(#REF!,U10対戦スケジュール!#REF!,3,TRUE)</f>
        <v>#REF!</v>
      </c>
      <c r="AM110" s="449" t="e">
        <f>VLOOKUP(#REF!,U10対戦スケジュール!#REF!,3,TRUE)</f>
        <v>#REF!</v>
      </c>
      <c r="AN110" s="449" t="e">
        <f>VLOOKUP(#REF!,U10対戦スケジュール!#REF!,3,TRUE)</f>
        <v>#REF!</v>
      </c>
      <c r="AO110" s="449" t="e">
        <f>VLOOKUP(#REF!,U10対戦スケジュール!#REF!,3,TRUE)</f>
        <v>#REF!</v>
      </c>
      <c r="AP110" s="449" t="e">
        <f>VLOOKUP(#REF!,U10対戦スケジュール!#REF!,3,TRUE)</f>
        <v>#REF!</v>
      </c>
      <c r="AR110" s="151">
        <f ca="1">VLOOKUP(B110,U10対戦スケジュール!M$35:R$38,3,TRUE)</f>
        <v>1</v>
      </c>
      <c r="AS110" s="151">
        <f ca="1">VLOOKUP(B110,U10対戦スケジュール!M$35:R$38,5)</f>
        <v>7</v>
      </c>
    </row>
    <row r="111" spans="2:45" ht="20.100000000000001" customHeight="1" x14ac:dyDescent="0.4">
      <c r="B111" s="442"/>
      <c r="C111" s="464"/>
      <c r="D111" s="465"/>
      <c r="E111" s="466"/>
      <c r="F111" s="449"/>
      <c r="G111" s="449"/>
      <c r="H111" s="449"/>
      <c r="I111" s="449"/>
      <c r="J111" s="468"/>
      <c r="K111" s="468"/>
      <c r="L111" s="468"/>
      <c r="M111" s="468"/>
      <c r="N111" s="468"/>
      <c r="O111" s="468"/>
      <c r="P111" s="468"/>
      <c r="Q111" s="446"/>
      <c r="R111" s="446"/>
      <c r="S111" s="136">
        <v>0</v>
      </c>
      <c r="T111" s="137"/>
      <c r="U111" s="136">
        <v>1</v>
      </c>
      <c r="V111" s="446"/>
      <c r="W111" s="446"/>
      <c r="X111" s="468"/>
      <c r="Y111" s="468"/>
      <c r="Z111" s="468"/>
      <c r="AA111" s="468"/>
      <c r="AB111" s="468"/>
      <c r="AC111" s="468"/>
      <c r="AD111" s="468"/>
      <c r="AE111" s="449"/>
      <c r="AF111" s="449"/>
      <c r="AG111" s="449"/>
      <c r="AH111" s="449"/>
      <c r="AI111" s="449" t="e">
        <f>VLOOKUP(#REF!,U10対戦スケジュール!#REF!,3,TRUE)</f>
        <v>#REF!</v>
      </c>
      <c r="AJ111" s="449" t="e">
        <f>VLOOKUP(#REF!,U10対戦スケジュール!#REF!,3,TRUE)</f>
        <v>#REF!</v>
      </c>
      <c r="AK111" s="449" t="e">
        <f>VLOOKUP(#REF!,U10対戦スケジュール!#REF!,3,TRUE)</f>
        <v>#REF!</v>
      </c>
      <c r="AL111" s="449" t="e">
        <f>VLOOKUP(#REF!,U10対戦スケジュール!#REF!,3,TRUE)</f>
        <v>#REF!</v>
      </c>
      <c r="AM111" s="449" t="e">
        <f>VLOOKUP(#REF!,U10対戦スケジュール!#REF!,3,TRUE)</f>
        <v>#REF!</v>
      </c>
      <c r="AN111" s="449" t="e">
        <f>VLOOKUP(#REF!,U10対戦スケジュール!#REF!,3,TRUE)</f>
        <v>#REF!</v>
      </c>
      <c r="AO111" s="449" t="e">
        <f>VLOOKUP(#REF!,U10対戦スケジュール!#REF!,3,TRUE)</f>
        <v>#REF!</v>
      </c>
      <c r="AP111" s="449" t="e">
        <f>VLOOKUP(#REF!,U10対戦スケジュール!#REF!,3,TRUE)</f>
        <v>#REF!</v>
      </c>
      <c r="AR111" s="151"/>
      <c r="AS111" s="151"/>
    </row>
    <row r="112" spans="2:45" ht="20.100000000000001" customHeight="1" x14ac:dyDescent="0.4">
      <c r="B112" s="442"/>
      <c r="C112" s="461"/>
      <c r="D112" s="462"/>
      <c r="E112" s="463"/>
      <c r="F112" s="449"/>
      <c r="G112" s="449"/>
      <c r="H112" s="449"/>
      <c r="I112" s="449"/>
      <c r="J112" s="467"/>
      <c r="K112" s="468"/>
      <c r="L112" s="468"/>
      <c r="M112" s="468"/>
      <c r="N112" s="468"/>
      <c r="O112" s="468"/>
      <c r="P112" s="468"/>
      <c r="Q112" s="446"/>
      <c r="R112" s="446"/>
      <c r="S112" s="136"/>
      <c r="T112" s="137"/>
      <c r="U112" s="136"/>
      <c r="V112" s="446"/>
      <c r="W112" s="446"/>
      <c r="X112" s="467"/>
      <c r="Y112" s="468"/>
      <c r="Z112" s="468"/>
      <c r="AA112" s="468"/>
      <c r="AB112" s="468"/>
      <c r="AC112" s="468"/>
      <c r="AD112" s="468"/>
      <c r="AE112" s="449"/>
      <c r="AF112" s="449"/>
      <c r="AG112" s="449"/>
      <c r="AH112" s="449"/>
      <c r="AI112" s="446"/>
      <c r="AJ112" s="449"/>
      <c r="AK112" s="449"/>
      <c r="AL112" s="449"/>
      <c r="AM112" s="449"/>
      <c r="AN112" s="449"/>
      <c r="AO112" s="449"/>
      <c r="AP112" s="449"/>
      <c r="AR112" s="151"/>
      <c r="AS112" s="151"/>
    </row>
    <row r="113" spans="1:45" ht="20.100000000000001" customHeight="1" x14ac:dyDescent="0.4">
      <c r="B113" s="442"/>
      <c r="C113" s="464"/>
      <c r="D113" s="465"/>
      <c r="E113" s="466"/>
      <c r="F113" s="449"/>
      <c r="G113" s="449"/>
      <c r="H113" s="449"/>
      <c r="I113" s="449"/>
      <c r="J113" s="468"/>
      <c r="K113" s="468"/>
      <c r="L113" s="468"/>
      <c r="M113" s="468"/>
      <c r="N113" s="468"/>
      <c r="O113" s="468"/>
      <c r="P113" s="468"/>
      <c r="Q113" s="446"/>
      <c r="R113" s="446"/>
      <c r="S113" s="136"/>
      <c r="T113" s="137"/>
      <c r="U113" s="136"/>
      <c r="V113" s="446"/>
      <c r="W113" s="446"/>
      <c r="X113" s="468"/>
      <c r="Y113" s="468"/>
      <c r="Z113" s="468"/>
      <c r="AA113" s="468"/>
      <c r="AB113" s="468"/>
      <c r="AC113" s="468"/>
      <c r="AD113" s="468"/>
      <c r="AE113" s="449"/>
      <c r="AF113" s="449"/>
      <c r="AG113" s="449"/>
      <c r="AH113" s="449"/>
      <c r="AI113" s="449"/>
      <c r="AJ113" s="449"/>
      <c r="AK113" s="449"/>
      <c r="AL113" s="449"/>
      <c r="AM113" s="449"/>
      <c r="AN113" s="449"/>
      <c r="AO113" s="449"/>
      <c r="AP113" s="449"/>
      <c r="AR113" s="151"/>
      <c r="AS113" s="151"/>
    </row>
    <row r="114" spans="1:45" ht="20.100000000000001" customHeight="1" x14ac:dyDescent="0.4">
      <c r="B114" s="442"/>
      <c r="C114" s="450"/>
      <c r="D114" s="450"/>
      <c r="E114" s="450"/>
      <c r="F114" s="449"/>
      <c r="G114" s="449"/>
      <c r="H114" s="449"/>
      <c r="I114" s="449"/>
      <c r="J114" s="447"/>
      <c r="K114" s="448"/>
      <c r="L114" s="448"/>
      <c r="M114" s="448"/>
      <c r="N114" s="448"/>
      <c r="O114" s="448"/>
      <c r="P114" s="448"/>
      <c r="Q114" s="446"/>
      <c r="R114" s="446"/>
      <c r="S114" s="136"/>
      <c r="T114" s="137"/>
      <c r="U114" s="136"/>
      <c r="V114" s="446"/>
      <c r="W114" s="446"/>
      <c r="X114" s="447"/>
      <c r="Y114" s="448"/>
      <c r="Z114" s="448"/>
      <c r="AA114" s="448"/>
      <c r="AB114" s="448"/>
      <c r="AC114" s="448"/>
      <c r="AD114" s="448"/>
      <c r="AE114" s="449"/>
      <c r="AF114" s="449"/>
      <c r="AG114" s="449"/>
      <c r="AH114" s="449"/>
      <c r="AI114" s="446"/>
      <c r="AJ114" s="449"/>
      <c r="AK114" s="449"/>
      <c r="AL114" s="449"/>
      <c r="AM114" s="449"/>
      <c r="AN114" s="449"/>
      <c r="AO114" s="449"/>
      <c r="AP114" s="449"/>
      <c r="AR114" s="151"/>
      <c r="AS114" s="151"/>
    </row>
    <row r="115" spans="1:45" ht="20.100000000000001" customHeight="1" x14ac:dyDescent="0.4">
      <c r="B115" s="442"/>
      <c r="C115" s="450"/>
      <c r="D115" s="450"/>
      <c r="E115" s="450"/>
      <c r="F115" s="449"/>
      <c r="G115" s="449"/>
      <c r="H115" s="449"/>
      <c r="I115" s="449"/>
      <c r="J115" s="448"/>
      <c r="K115" s="448"/>
      <c r="L115" s="448"/>
      <c r="M115" s="448"/>
      <c r="N115" s="448"/>
      <c r="O115" s="448"/>
      <c r="P115" s="448"/>
      <c r="Q115" s="446"/>
      <c r="R115" s="446"/>
      <c r="S115" s="136"/>
      <c r="T115" s="137"/>
      <c r="U115" s="136"/>
      <c r="V115" s="446"/>
      <c r="W115" s="446"/>
      <c r="X115" s="448"/>
      <c r="Y115" s="448"/>
      <c r="Z115" s="448"/>
      <c r="AA115" s="448"/>
      <c r="AB115" s="448"/>
      <c r="AC115" s="448"/>
      <c r="AD115" s="448"/>
      <c r="AE115" s="449"/>
      <c r="AF115" s="449"/>
      <c r="AG115" s="449"/>
      <c r="AH115" s="449"/>
      <c r="AI115" s="449"/>
      <c r="AJ115" s="449"/>
      <c r="AK115" s="449"/>
      <c r="AL115" s="449"/>
      <c r="AM115" s="449"/>
      <c r="AN115" s="449"/>
      <c r="AO115" s="449"/>
      <c r="AP115" s="449"/>
      <c r="AR115" s="151"/>
      <c r="AS115" s="151"/>
    </row>
    <row r="116" spans="1:45" ht="20.100000000000001" customHeight="1" x14ac:dyDescent="0.4">
      <c r="B116" s="442"/>
      <c r="C116" s="450"/>
      <c r="D116" s="450"/>
      <c r="E116" s="450"/>
      <c r="F116" s="449"/>
      <c r="G116" s="449"/>
      <c r="H116" s="449"/>
      <c r="I116" s="449"/>
      <c r="J116" s="447"/>
      <c r="K116" s="448"/>
      <c r="L116" s="448"/>
      <c r="M116" s="448"/>
      <c r="N116" s="448"/>
      <c r="O116" s="448"/>
      <c r="P116" s="448"/>
      <c r="Q116" s="446"/>
      <c r="R116" s="446"/>
      <c r="S116" s="136"/>
      <c r="T116" s="137"/>
      <c r="U116" s="136"/>
      <c r="V116" s="446"/>
      <c r="W116" s="446"/>
      <c r="X116" s="447"/>
      <c r="Y116" s="448"/>
      <c r="Z116" s="448"/>
      <c r="AA116" s="448"/>
      <c r="AB116" s="448"/>
      <c r="AC116" s="448"/>
      <c r="AD116" s="448"/>
      <c r="AE116" s="449"/>
      <c r="AF116" s="449"/>
      <c r="AG116" s="449"/>
      <c r="AH116" s="449"/>
      <c r="AI116" s="446"/>
      <c r="AJ116" s="449"/>
      <c r="AK116" s="449"/>
      <c r="AL116" s="449"/>
      <c r="AM116" s="449"/>
      <c r="AN116" s="449"/>
      <c r="AO116" s="449"/>
      <c r="AP116" s="449"/>
      <c r="AR116" s="151"/>
      <c r="AS116" s="151"/>
    </row>
    <row r="117" spans="1:45" ht="20.100000000000001" customHeight="1" x14ac:dyDescent="0.4">
      <c r="B117" s="442"/>
      <c r="C117" s="450"/>
      <c r="D117" s="450"/>
      <c r="E117" s="450"/>
      <c r="F117" s="449"/>
      <c r="G117" s="449"/>
      <c r="H117" s="449"/>
      <c r="I117" s="449"/>
      <c r="J117" s="448"/>
      <c r="K117" s="448"/>
      <c r="L117" s="448"/>
      <c r="M117" s="448"/>
      <c r="N117" s="448"/>
      <c r="O117" s="448"/>
      <c r="P117" s="448"/>
      <c r="Q117" s="446"/>
      <c r="R117" s="446"/>
      <c r="S117" s="136"/>
      <c r="T117" s="137"/>
      <c r="U117" s="136"/>
      <c r="V117" s="446"/>
      <c r="W117" s="446"/>
      <c r="X117" s="448"/>
      <c r="Y117" s="448"/>
      <c r="Z117" s="448"/>
      <c r="AA117" s="448"/>
      <c r="AB117" s="448"/>
      <c r="AC117" s="448"/>
      <c r="AD117" s="448"/>
      <c r="AE117" s="449"/>
      <c r="AF117" s="449"/>
      <c r="AG117" s="449"/>
      <c r="AH117" s="449"/>
      <c r="AI117" s="449"/>
      <c r="AJ117" s="449"/>
      <c r="AK117" s="449"/>
      <c r="AL117" s="449"/>
      <c r="AM117" s="449"/>
      <c r="AN117" s="449"/>
      <c r="AO117" s="449"/>
      <c r="AP117" s="449"/>
      <c r="AR117" s="151"/>
      <c r="AS117" s="151"/>
    </row>
    <row r="118" spans="1:45" ht="20.100000000000001" customHeight="1" x14ac:dyDescent="0.4">
      <c r="B118" s="442"/>
      <c r="C118" s="450"/>
      <c r="D118" s="450"/>
      <c r="E118" s="450"/>
      <c r="F118" s="449"/>
      <c r="G118" s="449"/>
      <c r="H118" s="449"/>
      <c r="I118" s="449"/>
      <c r="J118" s="447"/>
      <c r="K118" s="448"/>
      <c r="L118" s="448"/>
      <c r="M118" s="448"/>
      <c r="N118" s="448"/>
      <c r="O118" s="448"/>
      <c r="P118" s="448"/>
      <c r="Q118" s="446"/>
      <c r="R118" s="446"/>
      <c r="S118" s="136"/>
      <c r="T118" s="137"/>
      <c r="U118" s="136"/>
      <c r="V118" s="446"/>
      <c r="W118" s="446"/>
      <c r="X118" s="447"/>
      <c r="Y118" s="448"/>
      <c r="Z118" s="448"/>
      <c r="AA118" s="448"/>
      <c r="AB118" s="448"/>
      <c r="AC118" s="448"/>
      <c r="AD118" s="448"/>
      <c r="AE118" s="449"/>
      <c r="AF118" s="449"/>
      <c r="AG118" s="449"/>
      <c r="AH118" s="449"/>
      <c r="AI118" s="446"/>
      <c r="AJ118" s="449"/>
      <c r="AK118" s="449"/>
      <c r="AL118" s="449"/>
      <c r="AM118" s="449"/>
      <c r="AN118" s="449"/>
      <c r="AO118" s="449"/>
      <c r="AP118" s="449"/>
      <c r="AR118" s="151"/>
      <c r="AS118" s="151"/>
    </row>
    <row r="119" spans="1:45" ht="20.100000000000001" customHeight="1" x14ac:dyDescent="0.4">
      <c r="B119" s="442"/>
      <c r="C119" s="450"/>
      <c r="D119" s="450"/>
      <c r="E119" s="450"/>
      <c r="F119" s="449"/>
      <c r="G119" s="449"/>
      <c r="H119" s="449"/>
      <c r="I119" s="449"/>
      <c r="J119" s="448"/>
      <c r="K119" s="448"/>
      <c r="L119" s="448"/>
      <c r="M119" s="448"/>
      <c r="N119" s="448"/>
      <c r="O119" s="448"/>
      <c r="P119" s="448"/>
      <c r="Q119" s="446"/>
      <c r="R119" s="446"/>
      <c r="S119" s="136"/>
      <c r="T119" s="137"/>
      <c r="U119" s="136"/>
      <c r="V119" s="446"/>
      <c r="W119" s="446"/>
      <c r="X119" s="448"/>
      <c r="Y119" s="448"/>
      <c r="Z119" s="448"/>
      <c r="AA119" s="448"/>
      <c r="AB119" s="448"/>
      <c r="AC119" s="448"/>
      <c r="AD119" s="448"/>
      <c r="AE119" s="449"/>
      <c r="AF119" s="449"/>
      <c r="AG119" s="449"/>
      <c r="AH119" s="449"/>
      <c r="AI119" s="449"/>
      <c r="AJ119" s="449"/>
      <c r="AK119" s="449"/>
      <c r="AL119" s="449"/>
      <c r="AM119" s="449"/>
      <c r="AN119" s="449"/>
      <c r="AO119" s="449"/>
      <c r="AP119" s="449"/>
    </row>
    <row r="120" spans="1:45" ht="15.75" customHeight="1" x14ac:dyDescent="0.4">
      <c r="A120" s="138"/>
      <c r="B120" s="139"/>
      <c r="C120" s="140"/>
      <c r="D120" s="140"/>
      <c r="E120" s="140"/>
      <c r="F120" s="139"/>
      <c r="G120" s="139"/>
      <c r="H120" s="139"/>
      <c r="I120" s="139"/>
      <c r="J120" s="139"/>
      <c r="K120" s="141"/>
      <c r="L120" s="141"/>
      <c r="M120" s="142"/>
      <c r="N120" s="143"/>
      <c r="O120" s="142"/>
      <c r="P120" s="141"/>
      <c r="Q120" s="141"/>
      <c r="R120" s="139"/>
      <c r="S120" s="139"/>
      <c r="T120" s="139"/>
      <c r="U120" s="139"/>
      <c r="V120" s="139"/>
      <c r="W120" s="144"/>
      <c r="X120" s="144"/>
      <c r="Y120" s="144"/>
      <c r="Z120" s="144"/>
      <c r="AA120" s="144"/>
      <c r="AB120" s="144"/>
      <c r="AC120" s="138"/>
    </row>
    <row r="121" spans="1:45" ht="20.25" customHeight="1" x14ac:dyDescent="0.4">
      <c r="D121" s="442" t="s">
        <v>9</v>
      </c>
      <c r="E121" s="442"/>
      <c r="F121" s="442"/>
      <c r="G121" s="442"/>
      <c r="H121" s="442"/>
      <c r="I121" s="442"/>
      <c r="J121" s="442" t="s">
        <v>5</v>
      </c>
      <c r="K121" s="442"/>
      <c r="L121" s="442"/>
      <c r="M121" s="442"/>
      <c r="N121" s="442"/>
      <c r="O121" s="442"/>
      <c r="P121" s="442"/>
      <c r="Q121" s="442"/>
      <c r="R121" s="443" t="s">
        <v>10</v>
      </c>
      <c r="S121" s="443"/>
      <c r="T121" s="443"/>
      <c r="U121" s="443"/>
      <c r="V121" s="443"/>
      <c r="W121" s="443"/>
      <c r="X121" s="443"/>
      <c r="Y121" s="443"/>
      <c r="Z121" s="443"/>
      <c r="AA121" s="444" t="s">
        <v>11</v>
      </c>
      <c r="AB121" s="444"/>
      <c r="AC121" s="444"/>
      <c r="AD121" s="444" t="s">
        <v>12</v>
      </c>
      <c r="AE121" s="444"/>
      <c r="AF121" s="444"/>
      <c r="AG121" s="444"/>
      <c r="AH121" s="444"/>
      <c r="AI121" s="444"/>
      <c r="AJ121" s="444"/>
      <c r="AK121" s="444"/>
      <c r="AL121" s="444"/>
      <c r="AM121" s="444"/>
    </row>
    <row r="122" spans="1:45" ht="30" customHeight="1" x14ac:dyDescent="0.4">
      <c r="D122" s="442" t="s">
        <v>13</v>
      </c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5"/>
      <c r="AB122" s="445"/>
      <c r="AC122" s="445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</row>
    <row r="123" spans="1:45" ht="30" customHeight="1" x14ac:dyDescent="0.4">
      <c r="D123" s="442" t="s">
        <v>13</v>
      </c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4"/>
      <c r="AB123" s="444"/>
      <c r="AC123" s="444"/>
      <c r="AD123" s="441"/>
      <c r="AE123" s="441"/>
      <c r="AF123" s="441"/>
      <c r="AG123" s="441"/>
      <c r="AH123" s="441"/>
      <c r="AI123" s="441"/>
      <c r="AJ123" s="441"/>
      <c r="AK123" s="441"/>
      <c r="AL123" s="441"/>
      <c r="AM123" s="441"/>
    </row>
    <row r="124" spans="1:45" ht="30" customHeight="1" x14ac:dyDescent="0.4">
      <c r="D124" s="442" t="s">
        <v>13</v>
      </c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3"/>
      <c r="S124" s="443"/>
      <c r="T124" s="443"/>
      <c r="U124" s="443"/>
      <c r="V124" s="443"/>
      <c r="W124" s="443"/>
      <c r="X124" s="443"/>
      <c r="Y124" s="443"/>
      <c r="Z124" s="443"/>
      <c r="AA124" s="444"/>
      <c r="AB124" s="444"/>
      <c r="AC124" s="444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1"/>
    </row>
    <row r="125" spans="1:45" ht="30" customHeight="1" x14ac:dyDescent="0.4">
      <c r="D125" s="442" t="s">
        <v>13</v>
      </c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3"/>
      <c r="S125" s="443"/>
      <c r="T125" s="443"/>
      <c r="U125" s="443"/>
      <c r="V125" s="443"/>
      <c r="W125" s="443"/>
      <c r="X125" s="443"/>
      <c r="Y125" s="443"/>
      <c r="Z125" s="443"/>
      <c r="AA125" s="444"/>
      <c r="AB125" s="444"/>
      <c r="AC125" s="444"/>
      <c r="AD125" s="441"/>
      <c r="AE125" s="441"/>
      <c r="AF125" s="441"/>
      <c r="AG125" s="441"/>
      <c r="AH125" s="441"/>
      <c r="AI125" s="441"/>
      <c r="AJ125" s="441"/>
      <c r="AK125" s="441"/>
      <c r="AL125" s="441"/>
      <c r="AM125" s="441"/>
    </row>
    <row r="127" spans="1:45" ht="14.25" customHeight="1" x14ac:dyDescent="0.4">
      <c r="A127" s="274"/>
      <c r="B127" s="489" t="str">
        <f>U10組合せ!$B$1</f>
        <v>ＪＦＡ　Ｕ-１０サッカーリーグ2021（in栃木） 宇都宮地区リーグ戦（前期）</v>
      </c>
      <c r="C127" s="489"/>
      <c r="D127" s="489"/>
      <c r="E127" s="489"/>
      <c r="F127" s="489"/>
      <c r="G127" s="489"/>
      <c r="H127" s="489"/>
      <c r="I127" s="489"/>
      <c r="J127" s="489"/>
      <c r="K127" s="489"/>
      <c r="L127" s="489"/>
      <c r="M127" s="489"/>
      <c r="N127" s="489"/>
      <c r="O127" s="489"/>
      <c r="P127" s="489"/>
      <c r="Q127" s="489"/>
      <c r="R127" s="489"/>
      <c r="S127" s="489"/>
      <c r="T127" s="489"/>
      <c r="U127" s="489"/>
      <c r="V127" s="489"/>
      <c r="W127" s="489"/>
      <c r="X127" s="489"/>
      <c r="Y127" s="489"/>
      <c r="Z127" s="489"/>
      <c r="AA127" s="489"/>
      <c r="AB127" s="489"/>
      <c r="AC127" s="490" t="str">
        <f>"【"&amp;(U10組合せ!$H$3)&amp;"】"</f>
        <v>【Ｃ ブロック】</v>
      </c>
      <c r="AD127" s="490"/>
      <c r="AE127" s="490"/>
      <c r="AF127" s="490"/>
      <c r="AG127" s="490"/>
      <c r="AH127" s="490"/>
      <c r="AI127" s="490"/>
      <c r="AJ127" s="490"/>
      <c r="AK127" s="490" t="str">
        <f>"第"&amp;(U10組合せ!$F$31)</f>
        <v>第３節</v>
      </c>
      <c r="AL127" s="490"/>
      <c r="AM127" s="490"/>
      <c r="AN127" s="490"/>
      <c r="AO127" s="490"/>
      <c r="AP127" s="491" t="s">
        <v>195</v>
      </c>
      <c r="AQ127" s="492"/>
    </row>
    <row r="128" spans="1:45" ht="22.5" customHeight="1" x14ac:dyDescent="0.4">
      <c r="A128" s="274"/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  <c r="R128" s="489"/>
      <c r="S128" s="489"/>
      <c r="T128" s="489"/>
      <c r="U128" s="489"/>
      <c r="V128" s="489"/>
      <c r="W128" s="489"/>
      <c r="X128" s="489"/>
      <c r="Y128" s="489"/>
      <c r="Z128" s="489"/>
      <c r="AA128" s="489"/>
      <c r="AB128" s="489"/>
      <c r="AC128" s="490"/>
      <c r="AD128" s="490"/>
      <c r="AE128" s="490"/>
      <c r="AF128" s="490"/>
      <c r="AG128" s="490"/>
      <c r="AH128" s="490"/>
      <c r="AI128" s="490"/>
      <c r="AJ128" s="490"/>
      <c r="AK128" s="490"/>
      <c r="AL128" s="490"/>
      <c r="AM128" s="490"/>
      <c r="AN128" s="490"/>
      <c r="AO128" s="490"/>
      <c r="AP128" s="492"/>
      <c r="AQ128" s="492"/>
    </row>
    <row r="129" spans="2:45" ht="27.75" customHeight="1" x14ac:dyDescent="0.4">
      <c r="C129" s="477" t="s">
        <v>1</v>
      </c>
      <c r="D129" s="477"/>
      <c r="E129" s="477"/>
      <c r="F129" s="477"/>
      <c r="G129" s="478" t="str">
        <f>U10組合せ!I31</f>
        <v>石井 3 PM</v>
      </c>
      <c r="H129" s="479"/>
      <c r="I129" s="479"/>
      <c r="J129" s="479"/>
      <c r="K129" s="479"/>
      <c r="L129" s="479"/>
      <c r="M129" s="479"/>
      <c r="N129" s="479"/>
      <c r="O129" s="480"/>
      <c r="P129" s="477" t="s">
        <v>0</v>
      </c>
      <c r="Q129" s="477"/>
      <c r="R129" s="477"/>
      <c r="S129" s="477"/>
      <c r="T129" s="481" t="str">
        <f ca="1">X140</f>
        <v>FC みらい</v>
      </c>
      <c r="U129" s="481"/>
      <c r="V129" s="481"/>
      <c r="W129" s="481"/>
      <c r="X129" s="481"/>
      <c r="Y129" s="481"/>
      <c r="Z129" s="481"/>
      <c r="AA129" s="481"/>
      <c r="AB129" s="481"/>
      <c r="AC129" s="477" t="s">
        <v>2</v>
      </c>
      <c r="AD129" s="477"/>
      <c r="AE129" s="477"/>
      <c r="AF129" s="477"/>
      <c r="AG129" s="482">
        <f>U10組合せ!B$31</f>
        <v>44325</v>
      </c>
      <c r="AH129" s="483"/>
      <c r="AI129" s="483"/>
      <c r="AJ129" s="483"/>
      <c r="AK129" s="483"/>
      <c r="AL129" s="483"/>
      <c r="AM129" s="484" t="str">
        <f>"（"&amp;TEXT(AG129,"aaa")&amp;"）"</f>
        <v>（日）</v>
      </c>
      <c r="AN129" s="484"/>
      <c r="AO129" s="485"/>
    </row>
    <row r="130" spans="2:45" ht="15" customHeight="1" x14ac:dyDescent="0.4">
      <c r="C130" s="134" t="str">
        <f>U10組合せ!G32</f>
        <v>B1356</v>
      </c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3"/>
      <c r="X130" s="133"/>
      <c r="Y130" s="133"/>
      <c r="Z130" s="133"/>
      <c r="AA130" s="133"/>
      <c r="AB130" s="133"/>
      <c r="AC130" s="133"/>
    </row>
    <row r="131" spans="2:45" s="155" customFormat="1" ht="29.25" customHeight="1" x14ac:dyDescent="0.4">
      <c r="B131" s="134"/>
      <c r="C131" s="481">
        <v>1</v>
      </c>
      <c r="D131" s="481"/>
      <c r="E131" s="488" t="str">
        <f>VLOOKUP(C131,U10組合せ!$B$10:$I$17,7,TRUE)</f>
        <v>宇大付属小SSS　U-10</v>
      </c>
      <c r="F131" s="488"/>
      <c r="G131" s="488"/>
      <c r="H131" s="488"/>
      <c r="I131" s="488"/>
      <c r="J131" s="488"/>
      <c r="K131" s="488"/>
      <c r="L131" s="488"/>
      <c r="M131" s="488"/>
      <c r="N131" s="488"/>
      <c r="O131" s="148"/>
      <c r="P131" s="148"/>
      <c r="Q131" s="486">
        <v>4</v>
      </c>
      <c r="R131" s="486"/>
      <c r="S131" s="487" t="str">
        <f>VLOOKUP(Q131,U10組合せ!$B$10:$I$17,7,TRUE)</f>
        <v>緑ヶ丘YFC</v>
      </c>
      <c r="T131" s="487"/>
      <c r="U131" s="487"/>
      <c r="V131" s="487"/>
      <c r="W131" s="487"/>
      <c r="X131" s="487"/>
      <c r="Y131" s="487"/>
      <c r="Z131" s="487"/>
      <c r="AA131" s="487"/>
      <c r="AB131" s="487"/>
      <c r="AC131" s="131"/>
      <c r="AD131" s="132"/>
      <c r="AE131" s="486">
        <v>7</v>
      </c>
      <c r="AF131" s="486"/>
      <c r="AG131" s="487" t="str">
        <f>VLOOKUP(AE131,U10組合せ!$B$10:$I$17,7,TRUE)</f>
        <v>FC　Riso</v>
      </c>
      <c r="AH131" s="487"/>
      <c r="AI131" s="487"/>
      <c r="AJ131" s="487"/>
      <c r="AK131" s="487"/>
      <c r="AL131" s="487"/>
      <c r="AM131" s="487"/>
      <c r="AN131" s="487"/>
      <c r="AO131" s="487"/>
      <c r="AP131" s="487"/>
      <c r="AR131" s="155">
        <f>138/2</f>
        <v>69</v>
      </c>
    </row>
    <row r="132" spans="2:45" s="155" customFormat="1" ht="29.25" customHeight="1" x14ac:dyDescent="0.4">
      <c r="C132" s="486">
        <v>2</v>
      </c>
      <c r="D132" s="486"/>
      <c r="E132" s="487" t="str">
        <f>VLOOKUP(C132,U10組合せ!$B$10:$I$17,7,TRUE)</f>
        <v>S4スぺランツァ</v>
      </c>
      <c r="F132" s="487"/>
      <c r="G132" s="487"/>
      <c r="H132" s="487"/>
      <c r="I132" s="487"/>
      <c r="J132" s="487"/>
      <c r="K132" s="487"/>
      <c r="L132" s="487"/>
      <c r="M132" s="487"/>
      <c r="N132" s="487"/>
      <c r="O132" s="148"/>
      <c r="P132" s="148"/>
      <c r="Q132" s="481">
        <v>5</v>
      </c>
      <c r="R132" s="481"/>
      <c r="S132" s="488" t="str">
        <f>VLOOKUP(Q132,U10組合せ!$B$10:$I$17,7,TRUE)</f>
        <v>カテット白沢</v>
      </c>
      <c r="T132" s="488"/>
      <c r="U132" s="488"/>
      <c r="V132" s="488"/>
      <c r="W132" s="488"/>
      <c r="X132" s="488"/>
      <c r="Y132" s="488"/>
      <c r="Z132" s="488"/>
      <c r="AA132" s="488"/>
      <c r="AB132" s="488"/>
      <c r="AC132" s="131"/>
      <c r="AD132" s="132"/>
      <c r="AE132" s="486">
        <v>8</v>
      </c>
      <c r="AF132" s="486"/>
      <c r="AG132" s="487"/>
      <c r="AH132" s="487"/>
      <c r="AI132" s="487"/>
      <c r="AJ132" s="487"/>
      <c r="AK132" s="487"/>
      <c r="AL132" s="487"/>
      <c r="AM132" s="487"/>
      <c r="AN132" s="487"/>
      <c r="AO132" s="487"/>
      <c r="AP132" s="487"/>
      <c r="AR132" s="155">
        <v>45</v>
      </c>
    </row>
    <row r="133" spans="2:45" s="155" customFormat="1" ht="29.25" customHeight="1" x14ac:dyDescent="0.4">
      <c r="C133" s="481">
        <v>3</v>
      </c>
      <c r="D133" s="481"/>
      <c r="E133" s="488" t="str">
        <f>VLOOKUP(C133,U10組合せ!$B$10:$I$17,7,TRUE)</f>
        <v>豊郷JFC宇都宮U-10</v>
      </c>
      <c r="F133" s="488"/>
      <c r="G133" s="488"/>
      <c r="H133" s="488"/>
      <c r="I133" s="488"/>
      <c r="J133" s="488"/>
      <c r="K133" s="488"/>
      <c r="L133" s="488"/>
      <c r="M133" s="488"/>
      <c r="N133" s="488"/>
      <c r="O133" s="148"/>
      <c r="P133" s="148"/>
      <c r="Q133" s="481">
        <v>6</v>
      </c>
      <c r="R133" s="481"/>
      <c r="S133" s="488" t="str">
        <f>VLOOKUP(Q133,U10組合せ!$B$10:$I$17,7,TRUE)</f>
        <v>FC みらい</v>
      </c>
      <c r="T133" s="488"/>
      <c r="U133" s="488"/>
      <c r="V133" s="488"/>
      <c r="W133" s="488"/>
      <c r="X133" s="488"/>
      <c r="Y133" s="488"/>
      <c r="Z133" s="488"/>
      <c r="AA133" s="488"/>
      <c r="AB133" s="488"/>
      <c r="AC133" s="131"/>
      <c r="AD133" s="132"/>
      <c r="AE133" s="486">
        <v>9</v>
      </c>
      <c r="AF133" s="486"/>
      <c r="AG133" s="487"/>
      <c r="AH133" s="487"/>
      <c r="AI133" s="487"/>
      <c r="AJ133" s="487"/>
      <c r="AK133" s="487"/>
      <c r="AL133" s="487"/>
      <c r="AM133" s="487"/>
      <c r="AN133" s="487"/>
      <c r="AO133" s="487"/>
      <c r="AP133" s="487"/>
      <c r="AR133" s="155">
        <f>AR131-AR132</f>
        <v>24</v>
      </c>
    </row>
    <row r="134" spans="2:45" ht="8.25" customHeight="1" x14ac:dyDescent="0.4">
      <c r="O134" s="138"/>
      <c r="P134" s="138"/>
      <c r="AC134" s="133"/>
    </row>
    <row r="135" spans="2:45" ht="8.25" customHeight="1" x14ac:dyDescent="0.4">
      <c r="C135" s="149"/>
      <c r="D135" s="150"/>
      <c r="E135" s="150"/>
      <c r="F135" s="150"/>
      <c r="G135" s="150"/>
      <c r="H135" s="150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50"/>
      <c r="U135" s="138"/>
      <c r="V135" s="150"/>
      <c r="W135" s="138"/>
      <c r="X135" s="150"/>
      <c r="Y135" s="138"/>
      <c r="Z135" s="150"/>
      <c r="AA135" s="138"/>
      <c r="AB135" s="150"/>
      <c r="AC135" s="150"/>
    </row>
    <row r="136" spans="2:45" ht="21" customHeight="1" x14ac:dyDescent="0.4">
      <c r="B136" s="134" t="s">
        <v>181</v>
      </c>
    </row>
    <row r="137" spans="2:45" ht="20.25" customHeight="1" x14ac:dyDescent="0.4">
      <c r="B137" s="135"/>
      <c r="C137" s="469" t="s">
        <v>3</v>
      </c>
      <c r="D137" s="469"/>
      <c r="E137" s="469"/>
      <c r="F137" s="470" t="s">
        <v>4</v>
      </c>
      <c r="G137" s="470"/>
      <c r="H137" s="470"/>
      <c r="I137" s="470"/>
      <c r="J137" s="469" t="s">
        <v>5</v>
      </c>
      <c r="K137" s="471"/>
      <c r="L137" s="471"/>
      <c r="M137" s="471"/>
      <c r="N137" s="471"/>
      <c r="O137" s="471"/>
      <c r="P137" s="471"/>
      <c r="Q137" s="469" t="s">
        <v>40</v>
      </c>
      <c r="R137" s="469"/>
      <c r="S137" s="469"/>
      <c r="T137" s="469"/>
      <c r="U137" s="469"/>
      <c r="V137" s="469"/>
      <c r="W137" s="469"/>
      <c r="X137" s="469" t="s">
        <v>5</v>
      </c>
      <c r="Y137" s="471"/>
      <c r="Z137" s="471"/>
      <c r="AA137" s="471"/>
      <c r="AB137" s="471"/>
      <c r="AC137" s="471"/>
      <c r="AD137" s="471"/>
      <c r="AE137" s="470" t="s">
        <v>4</v>
      </c>
      <c r="AF137" s="470"/>
      <c r="AG137" s="470"/>
      <c r="AH137" s="470"/>
      <c r="AI137" s="469" t="s">
        <v>7</v>
      </c>
      <c r="AJ137" s="469"/>
      <c r="AK137" s="471"/>
      <c r="AL137" s="471"/>
      <c r="AM137" s="471"/>
      <c r="AN137" s="471"/>
      <c r="AO137" s="471"/>
      <c r="AP137" s="471"/>
    </row>
    <row r="138" spans="2:45" ht="20.100000000000001" customHeight="1" x14ac:dyDescent="0.4">
      <c r="B138" s="442" t="str">
        <f ca="1">DBCS(INDIRECT("U10対戦スケジュール!m"&amp;(ROW())/2-24))</f>
        <v>⑤</v>
      </c>
      <c r="C138" s="461">
        <f ca="1">VLOOKUP(B138,U10対戦スケジュール!M$45:R$48,2,TRUE)</f>
        <v>0.5625</v>
      </c>
      <c r="D138" s="462"/>
      <c r="E138" s="463"/>
      <c r="F138" s="449"/>
      <c r="G138" s="449"/>
      <c r="H138" s="449"/>
      <c r="I138" s="449"/>
      <c r="J138" s="467" t="str">
        <f ca="1">VLOOKUP(AR138,U10組合せ!$B$10:$I$17,7,TRUE)</f>
        <v>宇大付属小SSS　U-10</v>
      </c>
      <c r="K138" s="468"/>
      <c r="L138" s="468"/>
      <c r="M138" s="468"/>
      <c r="N138" s="468"/>
      <c r="O138" s="468"/>
      <c r="P138" s="468"/>
      <c r="Q138" s="446">
        <f>IF(OR(S138="",S139=""),"",S138+S139)</f>
        <v>0</v>
      </c>
      <c r="R138" s="446"/>
      <c r="S138" s="136">
        <v>0</v>
      </c>
      <c r="T138" s="137" t="s">
        <v>8</v>
      </c>
      <c r="U138" s="136">
        <v>3</v>
      </c>
      <c r="V138" s="446">
        <f>IF(OR(U138="",U139=""),"",U138+U139)</f>
        <v>4</v>
      </c>
      <c r="W138" s="446"/>
      <c r="X138" s="467" t="str">
        <f ca="1">VLOOKUP(AS138,U10組合せ!$B$10:$I$17,7,TRUE)</f>
        <v>カテット白沢</v>
      </c>
      <c r="Y138" s="468"/>
      <c r="Z138" s="468"/>
      <c r="AA138" s="468"/>
      <c r="AB138" s="468"/>
      <c r="AC138" s="468"/>
      <c r="AD138" s="468"/>
      <c r="AE138" s="449"/>
      <c r="AF138" s="449"/>
      <c r="AG138" s="449"/>
      <c r="AH138" s="449"/>
      <c r="AI138" s="446" t="str">
        <f ca="1">DBCS(VLOOKUP(B138,U10対戦スケジュール!M$45:R$48,6,TRUE))</f>
        <v>３／６／６／３</v>
      </c>
      <c r="AJ138" s="449" t="e">
        <f>VLOOKUP(#REF!,U10対戦スケジュール!#REF!,3,TRUE)</f>
        <v>#REF!</v>
      </c>
      <c r="AK138" s="449" t="e">
        <f>VLOOKUP(#REF!,U10対戦スケジュール!#REF!,3,TRUE)</f>
        <v>#REF!</v>
      </c>
      <c r="AL138" s="449" t="e">
        <f>VLOOKUP(#REF!,U10対戦スケジュール!#REF!,3,TRUE)</f>
        <v>#REF!</v>
      </c>
      <c r="AM138" s="449" t="e">
        <f>VLOOKUP(#REF!,U10対戦スケジュール!#REF!,3,TRUE)</f>
        <v>#REF!</v>
      </c>
      <c r="AN138" s="449" t="e">
        <f>VLOOKUP(#REF!,U10対戦スケジュール!#REF!,3,TRUE)</f>
        <v>#REF!</v>
      </c>
      <c r="AO138" s="449" t="e">
        <f>VLOOKUP(#REF!,U10対戦スケジュール!#REF!,3,TRUE)</f>
        <v>#REF!</v>
      </c>
      <c r="AP138" s="449" t="e">
        <f>VLOOKUP(#REF!,U10対戦スケジュール!#REF!,3,TRUE)</f>
        <v>#REF!</v>
      </c>
      <c r="AR138" s="151">
        <f ca="1">VLOOKUP(B138,U10対戦スケジュール!M$45:R$48,3,TRUE)</f>
        <v>1</v>
      </c>
      <c r="AS138" s="151">
        <f ca="1">VLOOKUP(B138,U10対戦スケジュール!M$45:R$48,5)</f>
        <v>5</v>
      </c>
    </row>
    <row r="139" spans="2:45" ht="20.100000000000001" customHeight="1" x14ac:dyDescent="0.4">
      <c r="B139" s="442"/>
      <c r="C139" s="464"/>
      <c r="D139" s="465"/>
      <c r="E139" s="466"/>
      <c r="F139" s="449"/>
      <c r="G139" s="449"/>
      <c r="H139" s="449"/>
      <c r="I139" s="449"/>
      <c r="J139" s="468"/>
      <c r="K139" s="468"/>
      <c r="L139" s="468"/>
      <c r="M139" s="468"/>
      <c r="N139" s="468"/>
      <c r="O139" s="468"/>
      <c r="P139" s="468"/>
      <c r="Q139" s="446"/>
      <c r="R139" s="446"/>
      <c r="S139" s="136">
        <v>0</v>
      </c>
      <c r="T139" s="137" t="s">
        <v>8</v>
      </c>
      <c r="U139" s="136">
        <v>1</v>
      </c>
      <c r="V139" s="446"/>
      <c r="W139" s="446"/>
      <c r="X139" s="468"/>
      <c r="Y139" s="468"/>
      <c r="Z139" s="468"/>
      <c r="AA139" s="468"/>
      <c r="AB139" s="468"/>
      <c r="AC139" s="468"/>
      <c r="AD139" s="468"/>
      <c r="AE139" s="449"/>
      <c r="AF139" s="449"/>
      <c r="AG139" s="449"/>
      <c r="AH139" s="449"/>
      <c r="AI139" s="449" t="e">
        <f>VLOOKUP(#REF!,U10対戦スケジュール!#REF!,3,TRUE)</f>
        <v>#REF!</v>
      </c>
      <c r="AJ139" s="449" t="e">
        <f>VLOOKUP(#REF!,U10対戦スケジュール!#REF!,3,TRUE)</f>
        <v>#REF!</v>
      </c>
      <c r="AK139" s="449" t="e">
        <f>VLOOKUP(#REF!,U10対戦スケジュール!#REF!,3,TRUE)</f>
        <v>#REF!</v>
      </c>
      <c r="AL139" s="449" t="e">
        <f>VLOOKUP(#REF!,U10対戦スケジュール!#REF!,3,TRUE)</f>
        <v>#REF!</v>
      </c>
      <c r="AM139" s="449" t="e">
        <f>VLOOKUP(#REF!,U10対戦スケジュール!#REF!,3,TRUE)</f>
        <v>#REF!</v>
      </c>
      <c r="AN139" s="449" t="e">
        <f>VLOOKUP(#REF!,U10対戦スケジュール!#REF!,3,TRUE)</f>
        <v>#REF!</v>
      </c>
      <c r="AO139" s="449" t="e">
        <f>VLOOKUP(#REF!,U10対戦スケジュール!#REF!,3,TRUE)</f>
        <v>#REF!</v>
      </c>
      <c r="AP139" s="449" t="e">
        <f>VLOOKUP(#REF!,U10対戦スケジュール!#REF!,3,TRUE)</f>
        <v>#REF!</v>
      </c>
      <c r="AR139" s="151"/>
      <c r="AS139" s="151"/>
    </row>
    <row r="140" spans="2:45" ht="20.100000000000001" customHeight="1" x14ac:dyDescent="0.4">
      <c r="B140" s="442" t="str">
        <f ca="1">DBCS(INDIRECT("U10対戦スケジュール!m"&amp;(ROW())/2-24))</f>
        <v>⑥</v>
      </c>
      <c r="C140" s="461">
        <f ca="1">VLOOKUP(B140,U10対戦スケジュール!M$45:R$48,2,TRUE)</f>
        <v>0.59030000000000005</v>
      </c>
      <c r="D140" s="462"/>
      <c r="E140" s="463"/>
      <c r="F140" s="449"/>
      <c r="G140" s="449"/>
      <c r="H140" s="449"/>
      <c r="I140" s="449"/>
      <c r="J140" s="467" t="str">
        <f ca="1">VLOOKUP(AR140,U10組合せ!$B$10:$I$17,7,TRUE)</f>
        <v>豊郷JFC宇都宮U-10</v>
      </c>
      <c r="K140" s="468"/>
      <c r="L140" s="468"/>
      <c r="M140" s="468"/>
      <c r="N140" s="468"/>
      <c r="O140" s="468"/>
      <c r="P140" s="468"/>
      <c r="Q140" s="446">
        <f>IF(OR(S140="",S141=""),"",S140+S141)</f>
        <v>0</v>
      </c>
      <c r="R140" s="446"/>
      <c r="S140" s="136">
        <v>0</v>
      </c>
      <c r="T140" s="137" t="s">
        <v>8</v>
      </c>
      <c r="U140" s="136">
        <v>5</v>
      </c>
      <c r="V140" s="446">
        <f>IF(OR(U140="",U141=""),"",U140+U141)</f>
        <v>7</v>
      </c>
      <c r="W140" s="446"/>
      <c r="X140" s="467" t="str">
        <f ca="1">VLOOKUP(AS140,U10組合せ!$B$10:$I$17,7,TRUE)</f>
        <v>FC みらい</v>
      </c>
      <c r="Y140" s="468"/>
      <c r="Z140" s="468"/>
      <c r="AA140" s="468"/>
      <c r="AB140" s="468"/>
      <c r="AC140" s="468"/>
      <c r="AD140" s="468"/>
      <c r="AE140" s="449"/>
      <c r="AF140" s="449"/>
      <c r="AG140" s="449"/>
      <c r="AH140" s="449"/>
      <c r="AI140" s="446" t="str">
        <f ca="1">DBCS(VLOOKUP(B140,U10対戦スケジュール!M$45:R$48,6,TRUE))</f>
        <v>１／５／５／１</v>
      </c>
      <c r="AJ140" s="449" t="e">
        <f>VLOOKUP(#REF!,U10対戦スケジュール!#REF!,3,TRUE)</f>
        <v>#REF!</v>
      </c>
      <c r="AK140" s="449" t="e">
        <f>VLOOKUP(#REF!,U10対戦スケジュール!#REF!,3,TRUE)</f>
        <v>#REF!</v>
      </c>
      <c r="AL140" s="449" t="e">
        <f>VLOOKUP(#REF!,U10対戦スケジュール!#REF!,3,TRUE)</f>
        <v>#REF!</v>
      </c>
      <c r="AM140" s="449" t="e">
        <f>VLOOKUP(#REF!,U10対戦スケジュール!#REF!,3,TRUE)</f>
        <v>#REF!</v>
      </c>
      <c r="AN140" s="449" t="e">
        <f>VLOOKUP(#REF!,U10対戦スケジュール!#REF!,3,TRUE)</f>
        <v>#REF!</v>
      </c>
      <c r="AO140" s="449" t="e">
        <f>VLOOKUP(#REF!,U10対戦スケジュール!#REF!,3,TRUE)</f>
        <v>#REF!</v>
      </c>
      <c r="AP140" s="449" t="e">
        <f>VLOOKUP(#REF!,U10対戦スケジュール!#REF!,3,TRUE)</f>
        <v>#REF!</v>
      </c>
      <c r="AR140" s="151">
        <f ca="1">VLOOKUP(B140,U10対戦スケジュール!M$45:R$48,3,TRUE)</f>
        <v>3</v>
      </c>
      <c r="AS140" s="151">
        <f ca="1">VLOOKUP(B140,U10対戦スケジュール!M$45:R$48,5)</f>
        <v>6</v>
      </c>
    </row>
    <row r="141" spans="2:45" ht="20.100000000000001" customHeight="1" x14ac:dyDescent="0.4">
      <c r="B141" s="442"/>
      <c r="C141" s="464"/>
      <c r="D141" s="465"/>
      <c r="E141" s="466"/>
      <c r="F141" s="449"/>
      <c r="G141" s="449"/>
      <c r="H141" s="449"/>
      <c r="I141" s="449"/>
      <c r="J141" s="468"/>
      <c r="K141" s="468"/>
      <c r="L141" s="468"/>
      <c r="M141" s="468"/>
      <c r="N141" s="468"/>
      <c r="O141" s="468"/>
      <c r="P141" s="468"/>
      <c r="Q141" s="446"/>
      <c r="R141" s="446"/>
      <c r="S141" s="136">
        <v>0</v>
      </c>
      <c r="T141" s="137" t="s">
        <v>8</v>
      </c>
      <c r="U141" s="136">
        <v>2</v>
      </c>
      <c r="V141" s="446"/>
      <c r="W141" s="446"/>
      <c r="X141" s="468"/>
      <c r="Y141" s="468"/>
      <c r="Z141" s="468"/>
      <c r="AA141" s="468"/>
      <c r="AB141" s="468"/>
      <c r="AC141" s="468"/>
      <c r="AD141" s="468"/>
      <c r="AE141" s="449"/>
      <c r="AF141" s="449"/>
      <c r="AG141" s="449"/>
      <c r="AH141" s="449"/>
      <c r="AI141" s="449" t="e">
        <f>VLOOKUP(#REF!,U10対戦スケジュール!#REF!,3,TRUE)</f>
        <v>#REF!</v>
      </c>
      <c r="AJ141" s="449" t="e">
        <f>VLOOKUP(#REF!,U10対戦スケジュール!#REF!,3,TRUE)</f>
        <v>#REF!</v>
      </c>
      <c r="AK141" s="449" t="e">
        <f>VLOOKUP(#REF!,U10対戦スケジュール!#REF!,3,TRUE)</f>
        <v>#REF!</v>
      </c>
      <c r="AL141" s="449" t="e">
        <f>VLOOKUP(#REF!,U10対戦スケジュール!#REF!,3,TRUE)</f>
        <v>#REF!</v>
      </c>
      <c r="AM141" s="449" t="e">
        <f>VLOOKUP(#REF!,U10対戦スケジュール!#REF!,3,TRUE)</f>
        <v>#REF!</v>
      </c>
      <c r="AN141" s="449" t="e">
        <f>VLOOKUP(#REF!,U10対戦スケジュール!#REF!,3,TRUE)</f>
        <v>#REF!</v>
      </c>
      <c r="AO141" s="449" t="e">
        <f>VLOOKUP(#REF!,U10対戦スケジュール!#REF!,3,TRUE)</f>
        <v>#REF!</v>
      </c>
      <c r="AP141" s="449" t="e">
        <f>VLOOKUP(#REF!,U10対戦スケジュール!#REF!,3,TRUE)</f>
        <v>#REF!</v>
      </c>
    </row>
    <row r="142" spans="2:45" ht="20.100000000000001" customHeight="1" x14ac:dyDescent="0.4">
      <c r="B142" s="442" t="str">
        <f ca="1">DBCS(INDIRECT("U10対戦スケジュール!m"&amp;(ROW())/2-24))</f>
        <v>⑦</v>
      </c>
      <c r="C142" s="461">
        <f ca="1">VLOOKUP(B142,U10対戦スケジュール!M$45:R$48,2,TRUE)</f>
        <v>0.62530000000000008</v>
      </c>
      <c r="D142" s="462"/>
      <c r="E142" s="463"/>
      <c r="F142" s="449"/>
      <c r="G142" s="449"/>
      <c r="H142" s="449"/>
      <c r="I142" s="449"/>
      <c r="J142" s="467" t="str">
        <f ca="1">VLOOKUP(AR142,U10組合せ!$B$10:$I$17,7,TRUE)</f>
        <v>豊郷JFC宇都宮U-10</v>
      </c>
      <c r="K142" s="468"/>
      <c r="L142" s="468"/>
      <c r="M142" s="468"/>
      <c r="N142" s="468"/>
      <c r="O142" s="468"/>
      <c r="P142" s="468"/>
      <c r="Q142" s="446">
        <f t="shared" ref="Q142" si="6">IF(OR(S142="",S143=""),"",S142+S143)</f>
        <v>0</v>
      </c>
      <c r="R142" s="446"/>
      <c r="S142" s="136">
        <v>0</v>
      </c>
      <c r="T142" s="137" t="s">
        <v>8</v>
      </c>
      <c r="U142" s="136">
        <v>1</v>
      </c>
      <c r="V142" s="446">
        <f t="shared" ref="V142" si="7">IF(OR(U142="",U143=""),"",U142+U143)</f>
        <v>3</v>
      </c>
      <c r="W142" s="446"/>
      <c r="X142" s="467" t="str">
        <f ca="1">VLOOKUP(AS142,U10組合せ!$B$10:$I$17,7,TRUE)</f>
        <v>カテット白沢</v>
      </c>
      <c r="Y142" s="468"/>
      <c r="Z142" s="468"/>
      <c r="AA142" s="468"/>
      <c r="AB142" s="468"/>
      <c r="AC142" s="468"/>
      <c r="AD142" s="468"/>
      <c r="AE142" s="449"/>
      <c r="AF142" s="449"/>
      <c r="AG142" s="449"/>
      <c r="AH142" s="449"/>
      <c r="AI142" s="446" t="str">
        <f ca="1">DBCS(VLOOKUP(B142,U10対戦スケジュール!M$45:R$48,6,TRUE))</f>
        <v>６／１／１／６</v>
      </c>
      <c r="AJ142" s="449" t="e">
        <f>VLOOKUP(#REF!,U10対戦スケジュール!#REF!,3,TRUE)</f>
        <v>#REF!</v>
      </c>
      <c r="AK142" s="449" t="e">
        <f>VLOOKUP(#REF!,U10対戦スケジュール!#REF!,3,TRUE)</f>
        <v>#REF!</v>
      </c>
      <c r="AL142" s="449" t="e">
        <f>VLOOKUP(#REF!,U10対戦スケジュール!#REF!,3,TRUE)</f>
        <v>#REF!</v>
      </c>
      <c r="AM142" s="449" t="e">
        <f>VLOOKUP(#REF!,U10対戦スケジュール!#REF!,3,TRUE)</f>
        <v>#REF!</v>
      </c>
      <c r="AN142" s="449" t="e">
        <f>VLOOKUP(#REF!,U10対戦スケジュール!#REF!,3,TRUE)</f>
        <v>#REF!</v>
      </c>
      <c r="AO142" s="449" t="e">
        <f>VLOOKUP(#REF!,U10対戦スケジュール!#REF!,3,TRUE)</f>
        <v>#REF!</v>
      </c>
      <c r="AP142" s="449" t="e">
        <f>VLOOKUP(#REF!,U10対戦スケジュール!#REF!,3,TRUE)</f>
        <v>#REF!</v>
      </c>
      <c r="AR142" s="151">
        <f ca="1">VLOOKUP(B142,U10対戦スケジュール!M$45:R$48,3,TRUE)</f>
        <v>3</v>
      </c>
      <c r="AS142" s="151">
        <f ca="1">VLOOKUP(B142,U10対戦スケジュール!M$45:R$48,5)</f>
        <v>5</v>
      </c>
    </row>
    <row r="143" spans="2:45" ht="20.100000000000001" customHeight="1" x14ac:dyDescent="0.4">
      <c r="B143" s="442"/>
      <c r="C143" s="464"/>
      <c r="D143" s="465"/>
      <c r="E143" s="466"/>
      <c r="F143" s="449"/>
      <c r="G143" s="449"/>
      <c r="H143" s="449"/>
      <c r="I143" s="449"/>
      <c r="J143" s="468"/>
      <c r="K143" s="468"/>
      <c r="L143" s="468"/>
      <c r="M143" s="468"/>
      <c r="N143" s="468"/>
      <c r="O143" s="468"/>
      <c r="P143" s="468"/>
      <c r="Q143" s="446"/>
      <c r="R143" s="446"/>
      <c r="S143" s="136">
        <v>0</v>
      </c>
      <c r="T143" s="137" t="s">
        <v>8</v>
      </c>
      <c r="U143" s="136">
        <v>2</v>
      </c>
      <c r="V143" s="446"/>
      <c r="W143" s="446"/>
      <c r="X143" s="468"/>
      <c r="Y143" s="468"/>
      <c r="Z143" s="468"/>
      <c r="AA143" s="468"/>
      <c r="AB143" s="468"/>
      <c r="AC143" s="468"/>
      <c r="AD143" s="468"/>
      <c r="AE143" s="449"/>
      <c r="AF143" s="449"/>
      <c r="AG143" s="449"/>
      <c r="AH143" s="449"/>
      <c r="AI143" s="449" t="e">
        <f>VLOOKUP(#REF!,U10対戦スケジュール!#REF!,3,TRUE)</f>
        <v>#REF!</v>
      </c>
      <c r="AJ143" s="449" t="e">
        <f>VLOOKUP(#REF!,U10対戦スケジュール!#REF!,3,TRUE)</f>
        <v>#REF!</v>
      </c>
      <c r="AK143" s="449" t="e">
        <f>VLOOKUP(#REF!,U10対戦スケジュール!#REF!,3,TRUE)</f>
        <v>#REF!</v>
      </c>
      <c r="AL143" s="449" t="e">
        <f>VLOOKUP(#REF!,U10対戦スケジュール!#REF!,3,TRUE)</f>
        <v>#REF!</v>
      </c>
      <c r="AM143" s="449" t="e">
        <f>VLOOKUP(#REF!,U10対戦スケジュール!#REF!,3,TRUE)</f>
        <v>#REF!</v>
      </c>
      <c r="AN143" s="449" t="e">
        <f>VLOOKUP(#REF!,U10対戦スケジュール!#REF!,3,TRUE)</f>
        <v>#REF!</v>
      </c>
      <c r="AO143" s="449" t="e">
        <f>VLOOKUP(#REF!,U10対戦スケジュール!#REF!,3,TRUE)</f>
        <v>#REF!</v>
      </c>
      <c r="AP143" s="449" t="e">
        <f>VLOOKUP(#REF!,U10対戦スケジュール!#REF!,3,TRUE)</f>
        <v>#REF!</v>
      </c>
      <c r="AR143" s="151"/>
      <c r="AS143" s="151"/>
    </row>
    <row r="144" spans="2:45" ht="20.100000000000001" customHeight="1" x14ac:dyDescent="0.4">
      <c r="B144" s="442" t="str">
        <f ca="1">DBCS(INDIRECT("U10対戦スケジュール!m"&amp;(ROW())/2-24))</f>
        <v>⑧</v>
      </c>
      <c r="C144" s="461">
        <f ca="1">VLOOKUP(B144,U10対戦スケジュール!M$45:R$48,2,TRUE)</f>
        <v>0.65310000000000012</v>
      </c>
      <c r="D144" s="462"/>
      <c r="E144" s="463"/>
      <c r="F144" s="449"/>
      <c r="G144" s="449"/>
      <c r="H144" s="449"/>
      <c r="I144" s="449"/>
      <c r="J144" s="467" t="str">
        <f ca="1">VLOOKUP(AR144,U10組合せ!$B$10:$I$17,7,TRUE)</f>
        <v>宇大付属小SSS　U-10</v>
      </c>
      <c r="K144" s="468"/>
      <c r="L144" s="468"/>
      <c r="M144" s="468"/>
      <c r="N144" s="468"/>
      <c r="O144" s="468"/>
      <c r="P144" s="468"/>
      <c r="Q144" s="446">
        <f t="shared" ref="Q144" si="8">IF(OR(S144="",S145=""),"",S144+S145)</f>
        <v>0</v>
      </c>
      <c r="R144" s="446"/>
      <c r="S144" s="136">
        <v>0</v>
      </c>
      <c r="T144" s="137" t="s">
        <v>8</v>
      </c>
      <c r="U144" s="136">
        <v>2</v>
      </c>
      <c r="V144" s="446">
        <f t="shared" ref="V144" si="9">IF(OR(U144="",U145=""),"",U144+U145)</f>
        <v>2</v>
      </c>
      <c r="W144" s="446"/>
      <c r="X144" s="467" t="str">
        <f ca="1">VLOOKUP(AS144,U10組合せ!$B$10:$I$17,7,TRUE)</f>
        <v>FC みらい</v>
      </c>
      <c r="Y144" s="468"/>
      <c r="Z144" s="468"/>
      <c r="AA144" s="468"/>
      <c r="AB144" s="468"/>
      <c r="AC144" s="468"/>
      <c r="AD144" s="468"/>
      <c r="AE144" s="449"/>
      <c r="AF144" s="449"/>
      <c r="AG144" s="449"/>
      <c r="AH144" s="449"/>
      <c r="AI144" s="446" t="str">
        <f ca="1">DBCS(VLOOKUP(B144,U10対戦スケジュール!M$45:R$48,6,TRUE))</f>
        <v>５／３／３／５</v>
      </c>
      <c r="AJ144" s="449" t="e">
        <f>VLOOKUP(#REF!,U10対戦スケジュール!#REF!,3,TRUE)</f>
        <v>#REF!</v>
      </c>
      <c r="AK144" s="449" t="e">
        <f>VLOOKUP(#REF!,U10対戦スケジュール!#REF!,3,TRUE)</f>
        <v>#REF!</v>
      </c>
      <c r="AL144" s="449" t="e">
        <f>VLOOKUP(#REF!,U10対戦スケジュール!#REF!,3,TRUE)</f>
        <v>#REF!</v>
      </c>
      <c r="AM144" s="449" t="e">
        <f>VLOOKUP(#REF!,U10対戦スケジュール!#REF!,3,TRUE)</f>
        <v>#REF!</v>
      </c>
      <c r="AN144" s="449" t="e">
        <f>VLOOKUP(#REF!,U10対戦スケジュール!#REF!,3,TRUE)</f>
        <v>#REF!</v>
      </c>
      <c r="AO144" s="449" t="e">
        <f>VLOOKUP(#REF!,U10対戦スケジュール!#REF!,3,TRUE)</f>
        <v>#REF!</v>
      </c>
      <c r="AP144" s="449" t="e">
        <f>VLOOKUP(#REF!,U10対戦スケジュール!#REF!,3,TRUE)</f>
        <v>#REF!</v>
      </c>
      <c r="AR144" s="151">
        <f ca="1">VLOOKUP(B144,U10対戦スケジュール!M$45:R$48,3,TRUE)</f>
        <v>1</v>
      </c>
      <c r="AS144" s="151">
        <f ca="1">VLOOKUP(B144,U10対戦スケジュール!M$45:R$48,5)</f>
        <v>6</v>
      </c>
    </row>
    <row r="145" spans="1:45" ht="20.100000000000001" customHeight="1" x14ac:dyDescent="0.4">
      <c r="B145" s="442"/>
      <c r="C145" s="464"/>
      <c r="D145" s="465"/>
      <c r="E145" s="466"/>
      <c r="F145" s="449"/>
      <c r="G145" s="449"/>
      <c r="H145" s="449"/>
      <c r="I145" s="449"/>
      <c r="J145" s="468"/>
      <c r="K145" s="468"/>
      <c r="L145" s="468"/>
      <c r="M145" s="468"/>
      <c r="N145" s="468"/>
      <c r="O145" s="468"/>
      <c r="P145" s="468"/>
      <c r="Q145" s="446"/>
      <c r="R145" s="446"/>
      <c r="S145" s="136">
        <v>0</v>
      </c>
      <c r="T145" s="137" t="s">
        <v>8</v>
      </c>
      <c r="U145" s="136">
        <v>0</v>
      </c>
      <c r="V145" s="446"/>
      <c r="W145" s="446"/>
      <c r="X145" s="468"/>
      <c r="Y145" s="468"/>
      <c r="Z145" s="468"/>
      <c r="AA145" s="468"/>
      <c r="AB145" s="468"/>
      <c r="AC145" s="468"/>
      <c r="AD145" s="468"/>
      <c r="AE145" s="449"/>
      <c r="AF145" s="449"/>
      <c r="AG145" s="449"/>
      <c r="AH145" s="449"/>
      <c r="AI145" s="449" t="e">
        <f>VLOOKUP(#REF!,U10対戦スケジュール!#REF!,3,TRUE)</f>
        <v>#REF!</v>
      </c>
      <c r="AJ145" s="449" t="e">
        <f>VLOOKUP(#REF!,U10対戦スケジュール!#REF!,3,TRUE)</f>
        <v>#REF!</v>
      </c>
      <c r="AK145" s="449" t="e">
        <f>VLOOKUP(#REF!,U10対戦スケジュール!#REF!,3,TRUE)</f>
        <v>#REF!</v>
      </c>
      <c r="AL145" s="449" t="e">
        <f>VLOOKUP(#REF!,U10対戦スケジュール!#REF!,3,TRUE)</f>
        <v>#REF!</v>
      </c>
      <c r="AM145" s="449" t="e">
        <f>VLOOKUP(#REF!,U10対戦スケジュール!#REF!,3,TRUE)</f>
        <v>#REF!</v>
      </c>
      <c r="AN145" s="449" t="e">
        <f>VLOOKUP(#REF!,U10対戦スケジュール!#REF!,3,TRUE)</f>
        <v>#REF!</v>
      </c>
      <c r="AO145" s="449" t="e">
        <f>VLOOKUP(#REF!,U10対戦スケジュール!#REF!,3,TRUE)</f>
        <v>#REF!</v>
      </c>
      <c r="AP145" s="449" t="e">
        <f>VLOOKUP(#REF!,U10対戦スケジュール!#REF!,3,TRUE)</f>
        <v>#REF!</v>
      </c>
      <c r="AR145" s="151"/>
      <c r="AS145" s="151"/>
    </row>
    <row r="146" spans="1:45" ht="20.100000000000001" customHeight="1" x14ac:dyDescent="0.4">
      <c r="B146" s="442"/>
      <c r="C146" s="450"/>
      <c r="D146" s="450"/>
      <c r="E146" s="450"/>
      <c r="F146" s="449"/>
      <c r="G146" s="449"/>
      <c r="H146" s="449"/>
      <c r="I146" s="449"/>
      <c r="J146" s="447"/>
      <c r="K146" s="448"/>
      <c r="L146" s="448"/>
      <c r="M146" s="448"/>
      <c r="N146" s="448"/>
      <c r="O146" s="448"/>
      <c r="P146" s="448"/>
      <c r="Q146" s="446"/>
      <c r="R146" s="446"/>
      <c r="S146" s="136"/>
      <c r="T146" s="137"/>
      <c r="U146" s="136"/>
      <c r="V146" s="446"/>
      <c r="W146" s="446"/>
      <c r="X146" s="447"/>
      <c r="Y146" s="448"/>
      <c r="Z146" s="448"/>
      <c r="AA146" s="448"/>
      <c r="AB146" s="448"/>
      <c r="AC146" s="448"/>
      <c r="AD146" s="448"/>
      <c r="AE146" s="449"/>
      <c r="AF146" s="449"/>
      <c r="AG146" s="449"/>
      <c r="AH146" s="449"/>
      <c r="AI146" s="446"/>
      <c r="AJ146" s="449"/>
      <c r="AK146" s="449"/>
      <c r="AL146" s="449"/>
      <c r="AM146" s="449"/>
      <c r="AN146" s="449"/>
      <c r="AO146" s="449"/>
      <c r="AP146" s="449"/>
      <c r="AR146" s="151"/>
      <c r="AS146" s="151"/>
    </row>
    <row r="147" spans="1:45" ht="20.100000000000001" customHeight="1" x14ac:dyDescent="0.4">
      <c r="B147" s="442"/>
      <c r="C147" s="450"/>
      <c r="D147" s="450"/>
      <c r="E147" s="450"/>
      <c r="F147" s="449"/>
      <c r="G147" s="449"/>
      <c r="H147" s="449"/>
      <c r="I147" s="449"/>
      <c r="J147" s="448"/>
      <c r="K147" s="448"/>
      <c r="L147" s="448"/>
      <c r="M147" s="448"/>
      <c r="N147" s="448"/>
      <c r="O147" s="448"/>
      <c r="P147" s="448"/>
      <c r="Q147" s="446"/>
      <c r="R147" s="446"/>
      <c r="S147" s="136"/>
      <c r="T147" s="137"/>
      <c r="U147" s="136"/>
      <c r="V147" s="446"/>
      <c r="W147" s="446"/>
      <c r="X147" s="448"/>
      <c r="Y147" s="448"/>
      <c r="Z147" s="448"/>
      <c r="AA147" s="448"/>
      <c r="AB147" s="448"/>
      <c r="AC147" s="448"/>
      <c r="AD147" s="448"/>
      <c r="AE147" s="449"/>
      <c r="AF147" s="449"/>
      <c r="AG147" s="449"/>
      <c r="AH147" s="449"/>
      <c r="AI147" s="449"/>
      <c r="AJ147" s="449"/>
      <c r="AK147" s="449"/>
      <c r="AL147" s="449"/>
      <c r="AM147" s="449"/>
      <c r="AN147" s="449"/>
      <c r="AO147" s="449"/>
      <c r="AP147" s="449"/>
      <c r="AR147" s="151"/>
      <c r="AS147" s="151"/>
    </row>
    <row r="148" spans="1:45" ht="20.100000000000001" customHeight="1" x14ac:dyDescent="0.4">
      <c r="B148" s="442"/>
      <c r="C148" s="450"/>
      <c r="D148" s="450"/>
      <c r="E148" s="450"/>
      <c r="F148" s="449"/>
      <c r="G148" s="449"/>
      <c r="H148" s="449"/>
      <c r="I148" s="449"/>
      <c r="J148" s="447"/>
      <c r="K148" s="448"/>
      <c r="L148" s="448"/>
      <c r="M148" s="448"/>
      <c r="N148" s="448"/>
      <c r="O148" s="448"/>
      <c r="P148" s="448"/>
      <c r="Q148" s="446"/>
      <c r="R148" s="446"/>
      <c r="S148" s="136"/>
      <c r="T148" s="137"/>
      <c r="U148" s="136"/>
      <c r="V148" s="446"/>
      <c r="W148" s="446"/>
      <c r="X148" s="447"/>
      <c r="Y148" s="448"/>
      <c r="Z148" s="448"/>
      <c r="AA148" s="448"/>
      <c r="AB148" s="448"/>
      <c r="AC148" s="448"/>
      <c r="AD148" s="448"/>
      <c r="AE148" s="449"/>
      <c r="AF148" s="449"/>
      <c r="AG148" s="449"/>
      <c r="AH148" s="449"/>
      <c r="AI148" s="446"/>
      <c r="AJ148" s="449"/>
      <c r="AK148" s="449"/>
      <c r="AL148" s="449"/>
      <c r="AM148" s="449"/>
      <c r="AN148" s="449"/>
      <c r="AO148" s="449"/>
      <c r="AP148" s="449"/>
      <c r="AR148" s="151"/>
      <c r="AS148" s="151"/>
    </row>
    <row r="149" spans="1:45" ht="20.100000000000001" customHeight="1" x14ac:dyDescent="0.4">
      <c r="B149" s="442"/>
      <c r="C149" s="450"/>
      <c r="D149" s="450"/>
      <c r="E149" s="450"/>
      <c r="F149" s="449"/>
      <c r="G149" s="449"/>
      <c r="H149" s="449"/>
      <c r="I149" s="449"/>
      <c r="J149" s="448"/>
      <c r="K149" s="448"/>
      <c r="L149" s="448"/>
      <c r="M149" s="448"/>
      <c r="N149" s="448"/>
      <c r="O149" s="448"/>
      <c r="P149" s="448"/>
      <c r="Q149" s="446"/>
      <c r="R149" s="446"/>
      <c r="S149" s="136"/>
      <c r="T149" s="137"/>
      <c r="U149" s="136"/>
      <c r="V149" s="446"/>
      <c r="W149" s="446"/>
      <c r="X149" s="448"/>
      <c r="Y149" s="448"/>
      <c r="Z149" s="448"/>
      <c r="AA149" s="448"/>
      <c r="AB149" s="448"/>
      <c r="AC149" s="448"/>
      <c r="AD149" s="448"/>
      <c r="AE149" s="449"/>
      <c r="AF149" s="449"/>
      <c r="AG149" s="449"/>
      <c r="AH149" s="449"/>
      <c r="AI149" s="449"/>
      <c r="AJ149" s="449"/>
      <c r="AK149" s="449"/>
      <c r="AL149" s="449"/>
      <c r="AM149" s="449"/>
      <c r="AN149" s="449"/>
      <c r="AO149" s="449"/>
      <c r="AP149" s="449"/>
      <c r="AR149" s="151"/>
      <c r="AS149" s="151"/>
    </row>
    <row r="150" spans="1:45" ht="20.100000000000001" customHeight="1" x14ac:dyDescent="0.4">
      <c r="B150" s="442"/>
      <c r="C150" s="450"/>
      <c r="D150" s="450"/>
      <c r="E150" s="450"/>
      <c r="F150" s="449"/>
      <c r="G150" s="449"/>
      <c r="H150" s="449"/>
      <c r="I150" s="449"/>
      <c r="J150" s="447"/>
      <c r="K150" s="448"/>
      <c r="L150" s="448"/>
      <c r="M150" s="448"/>
      <c r="N150" s="448"/>
      <c r="O150" s="448"/>
      <c r="P150" s="448"/>
      <c r="Q150" s="446"/>
      <c r="R150" s="446"/>
      <c r="S150" s="136"/>
      <c r="T150" s="137"/>
      <c r="U150" s="136"/>
      <c r="V150" s="446"/>
      <c r="W150" s="446"/>
      <c r="X150" s="447"/>
      <c r="Y150" s="448"/>
      <c r="Z150" s="448"/>
      <c r="AA150" s="448"/>
      <c r="AB150" s="448"/>
      <c r="AC150" s="448"/>
      <c r="AD150" s="448"/>
      <c r="AE150" s="449"/>
      <c r="AF150" s="449"/>
      <c r="AG150" s="449"/>
      <c r="AH150" s="449"/>
      <c r="AI150" s="446"/>
      <c r="AJ150" s="449"/>
      <c r="AK150" s="449"/>
      <c r="AL150" s="449"/>
      <c r="AM150" s="449"/>
      <c r="AN150" s="449"/>
      <c r="AO150" s="449"/>
      <c r="AP150" s="449"/>
      <c r="AR150" s="151"/>
      <c r="AS150" s="151"/>
    </row>
    <row r="151" spans="1:45" ht="20.100000000000001" customHeight="1" x14ac:dyDescent="0.4">
      <c r="B151" s="442"/>
      <c r="C151" s="450"/>
      <c r="D151" s="450"/>
      <c r="E151" s="450"/>
      <c r="F151" s="449"/>
      <c r="G151" s="449"/>
      <c r="H151" s="449"/>
      <c r="I151" s="449"/>
      <c r="J151" s="448"/>
      <c r="K151" s="448"/>
      <c r="L151" s="448"/>
      <c r="M151" s="448"/>
      <c r="N151" s="448"/>
      <c r="O151" s="448"/>
      <c r="P151" s="448"/>
      <c r="Q151" s="446"/>
      <c r="R151" s="446"/>
      <c r="S151" s="136"/>
      <c r="T151" s="137"/>
      <c r="U151" s="136"/>
      <c r="V151" s="446"/>
      <c r="W151" s="446"/>
      <c r="X151" s="448"/>
      <c r="Y151" s="448"/>
      <c r="Z151" s="448"/>
      <c r="AA151" s="448"/>
      <c r="AB151" s="448"/>
      <c r="AC151" s="448"/>
      <c r="AD151" s="448"/>
      <c r="AE151" s="449"/>
      <c r="AF151" s="449"/>
      <c r="AG151" s="449"/>
      <c r="AH151" s="449"/>
      <c r="AI151" s="449"/>
      <c r="AJ151" s="449"/>
      <c r="AK151" s="449"/>
      <c r="AL151" s="449"/>
      <c r="AM151" s="449"/>
      <c r="AN151" s="449"/>
      <c r="AO151" s="449"/>
      <c r="AP151" s="449"/>
    </row>
    <row r="152" spans="1:45" ht="15.75" customHeight="1" x14ac:dyDescent="0.4">
      <c r="A152" s="138"/>
      <c r="B152" s="139"/>
      <c r="C152" s="140"/>
      <c r="D152" s="140"/>
      <c r="E152" s="140"/>
      <c r="F152" s="139"/>
      <c r="G152" s="139"/>
      <c r="H152" s="139"/>
      <c r="I152" s="139"/>
      <c r="J152" s="139"/>
      <c r="K152" s="141"/>
      <c r="L152" s="141"/>
      <c r="M152" s="142"/>
      <c r="N152" s="143"/>
      <c r="O152" s="142"/>
      <c r="P152" s="141"/>
      <c r="Q152" s="141"/>
      <c r="R152" s="139"/>
      <c r="S152" s="139"/>
      <c r="T152" s="139"/>
      <c r="U152" s="139"/>
      <c r="V152" s="139"/>
      <c r="W152" s="144"/>
      <c r="X152" s="144"/>
      <c r="Y152" s="144"/>
      <c r="Z152" s="144"/>
      <c r="AA152" s="144"/>
      <c r="AB152" s="144"/>
      <c r="AC152" s="138"/>
    </row>
    <row r="153" spans="1:45" ht="20.25" customHeight="1" x14ac:dyDescent="0.4">
      <c r="D153" s="442" t="s">
        <v>9</v>
      </c>
      <c r="E153" s="442"/>
      <c r="F153" s="442"/>
      <c r="G153" s="442"/>
      <c r="H153" s="442"/>
      <c r="I153" s="442"/>
      <c r="J153" s="442" t="s">
        <v>5</v>
      </c>
      <c r="K153" s="442"/>
      <c r="L153" s="442"/>
      <c r="M153" s="442"/>
      <c r="N153" s="442"/>
      <c r="O153" s="442"/>
      <c r="P153" s="442"/>
      <c r="Q153" s="442"/>
      <c r="R153" s="443" t="s">
        <v>10</v>
      </c>
      <c r="S153" s="443"/>
      <c r="T153" s="443"/>
      <c r="U153" s="443"/>
      <c r="V153" s="443"/>
      <c r="W153" s="443"/>
      <c r="X153" s="443"/>
      <c r="Y153" s="443"/>
      <c r="Z153" s="443"/>
      <c r="AA153" s="444" t="s">
        <v>11</v>
      </c>
      <c r="AB153" s="444"/>
      <c r="AC153" s="444"/>
      <c r="AD153" s="444" t="s">
        <v>12</v>
      </c>
      <c r="AE153" s="444"/>
      <c r="AF153" s="444"/>
      <c r="AG153" s="444"/>
      <c r="AH153" s="444"/>
      <c r="AI153" s="444"/>
      <c r="AJ153" s="444"/>
      <c r="AK153" s="444"/>
      <c r="AL153" s="444"/>
      <c r="AM153" s="444"/>
    </row>
    <row r="154" spans="1:45" ht="30" customHeight="1" x14ac:dyDescent="0.4">
      <c r="D154" s="442" t="s">
        <v>13</v>
      </c>
      <c r="E154" s="442"/>
      <c r="F154" s="442"/>
      <c r="G154" s="442"/>
      <c r="H154" s="442"/>
      <c r="I154" s="442"/>
      <c r="J154" s="442"/>
      <c r="K154" s="442"/>
      <c r="L154" s="442"/>
      <c r="M154" s="442"/>
      <c r="N154" s="442"/>
      <c r="O154" s="442"/>
      <c r="P154" s="442"/>
      <c r="Q154" s="442"/>
      <c r="R154" s="443"/>
      <c r="S154" s="443"/>
      <c r="T154" s="443"/>
      <c r="U154" s="443"/>
      <c r="V154" s="443"/>
      <c r="W154" s="443"/>
      <c r="X154" s="443"/>
      <c r="Y154" s="443"/>
      <c r="Z154" s="443"/>
      <c r="AA154" s="445"/>
      <c r="AB154" s="445"/>
      <c r="AC154" s="445"/>
      <c r="AD154" s="441"/>
      <c r="AE154" s="441"/>
      <c r="AF154" s="441"/>
      <c r="AG154" s="441"/>
      <c r="AH154" s="441"/>
      <c r="AI154" s="441"/>
      <c r="AJ154" s="441"/>
      <c r="AK154" s="441"/>
      <c r="AL154" s="441"/>
      <c r="AM154" s="441"/>
    </row>
    <row r="155" spans="1:45" ht="30" customHeight="1" x14ac:dyDescent="0.4">
      <c r="D155" s="442" t="s">
        <v>13</v>
      </c>
      <c r="E155" s="442"/>
      <c r="F155" s="442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  <c r="R155" s="443"/>
      <c r="S155" s="443"/>
      <c r="T155" s="443"/>
      <c r="U155" s="443"/>
      <c r="V155" s="443"/>
      <c r="W155" s="443"/>
      <c r="X155" s="443"/>
      <c r="Y155" s="443"/>
      <c r="Z155" s="443"/>
      <c r="AA155" s="444"/>
      <c r="AB155" s="444"/>
      <c r="AC155" s="444"/>
      <c r="AD155" s="441"/>
      <c r="AE155" s="441"/>
      <c r="AF155" s="441"/>
      <c r="AG155" s="441"/>
      <c r="AH155" s="441"/>
      <c r="AI155" s="441"/>
      <c r="AJ155" s="441"/>
      <c r="AK155" s="441"/>
      <c r="AL155" s="441"/>
      <c r="AM155" s="441"/>
    </row>
    <row r="156" spans="1:45" ht="30" customHeight="1" x14ac:dyDescent="0.4">
      <c r="D156" s="442" t="s">
        <v>13</v>
      </c>
      <c r="E156" s="442"/>
      <c r="F156" s="442"/>
      <c r="G156" s="442"/>
      <c r="H156" s="442"/>
      <c r="I156" s="442"/>
      <c r="J156" s="442"/>
      <c r="K156" s="442"/>
      <c r="L156" s="442"/>
      <c r="M156" s="442"/>
      <c r="N156" s="442"/>
      <c r="O156" s="442"/>
      <c r="P156" s="442"/>
      <c r="Q156" s="442"/>
      <c r="R156" s="443"/>
      <c r="S156" s="443"/>
      <c r="T156" s="443"/>
      <c r="U156" s="443"/>
      <c r="V156" s="443"/>
      <c r="W156" s="443"/>
      <c r="X156" s="443"/>
      <c r="Y156" s="443"/>
      <c r="Z156" s="443"/>
      <c r="AA156" s="444"/>
      <c r="AB156" s="444"/>
      <c r="AC156" s="444"/>
      <c r="AD156" s="441"/>
      <c r="AE156" s="441"/>
      <c r="AF156" s="441"/>
      <c r="AG156" s="441"/>
      <c r="AH156" s="441"/>
      <c r="AI156" s="441"/>
      <c r="AJ156" s="441"/>
      <c r="AK156" s="441"/>
      <c r="AL156" s="441"/>
      <c r="AM156" s="441"/>
    </row>
    <row r="157" spans="1:45" ht="30" customHeight="1" x14ac:dyDescent="0.4">
      <c r="D157" s="442" t="s">
        <v>13</v>
      </c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3"/>
      <c r="S157" s="443"/>
      <c r="T157" s="443"/>
      <c r="U157" s="443"/>
      <c r="V157" s="443"/>
      <c r="W157" s="443"/>
      <c r="X157" s="443"/>
      <c r="Y157" s="443"/>
      <c r="Z157" s="443"/>
      <c r="AA157" s="444"/>
      <c r="AB157" s="444"/>
      <c r="AC157" s="444"/>
      <c r="AD157" s="441"/>
      <c r="AE157" s="441"/>
      <c r="AF157" s="441"/>
      <c r="AG157" s="441"/>
      <c r="AH157" s="441"/>
      <c r="AI157" s="441"/>
      <c r="AJ157" s="441"/>
      <c r="AK157" s="441"/>
      <c r="AL157" s="441"/>
      <c r="AM157" s="441"/>
    </row>
    <row r="159" spans="1:45" ht="14.25" customHeight="1" x14ac:dyDescent="0.4">
      <c r="A159" s="274"/>
      <c r="B159" s="489" t="str">
        <f>U10組合せ!$B$1</f>
        <v>ＪＦＡ　Ｕ-１０サッカーリーグ2021（in栃木） 宇都宮地区リーグ戦（前期）</v>
      </c>
      <c r="C159" s="489"/>
      <c r="D159" s="489"/>
      <c r="E159" s="489"/>
      <c r="F159" s="489"/>
      <c r="G159" s="489"/>
      <c r="H159" s="489"/>
      <c r="I159" s="489"/>
      <c r="J159" s="489"/>
      <c r="K159" s="489"/>
      <c r="L159" s="489"/>
      <c r="M159" s="489"/>
      <c r="N159" s="489"/>
      <c r="O159" s="489"/>
      <c r="P159" s="489"/>
      <c r="Q159" s="489"/>
      <c r="R159" s="489"/>
      <c r="S159" s="489"/>
      <c r="T159" s="489"/>
      <c r="U159" s="489"/>
      <c r="V159" s="489"/>
      <c r="W159" s="489"/>
      <c r="X159" s="489"/>
      <c r="Y159" s="489"/>
      <c r="Z159" s="489"/>
      <c r="AA159" s="489"/>
      <c r="AB159" s="489"/>
      <c r="AC159" s="490" t="str">
        <f>"【"&amp;(U10組合せ!$H$3)&amp;"】"</f>
        <v>【Ｃ ブロック】</v>
      </c>
      <c r="AD159" s="490"/>
      <c r="AE159" s="490"/>
      <c r="AF159" s="490"/>
      <c r="AG159" s="490"/>
      <c r="AH159" s="490"/>
      <c r="AI159" s="490"/>
      <c r="AJ159" s="490"/>
      <c r="AK159" s="490" t="str">
        <f>"第"&amp;(U10組合せ!$F$31)</f>
        <v>第３節</v>
      </c>
      <c r="AL159" s="490"/>
      <c r="AM159" s="490"/>
      <c r="AN159" s="490"/>
      <c r="AO159" s="490"/>
      <c r="AP159" s="491" t="s">
        <v>196</v>
      </c>
      <c r="AQ159" s="492"/>
    </row>
    <row r="160" spans="1:45" ht="22.5" customHeight="1" x14ac:dyDescent="0.4">
      <c r="A160" s="274"/>
      <c r="B160" s="489"/>
      <c r="C160" s="489"/>
      <c r="D160" s="489"/>
      <c r="E160" s="489"/>
      <c r="F160" s="489"/>
      <c r="G160" s="489"/>
      <c r="H160" s="489"/>
      <c r="I160" s="489"/>
      <c r="J160" s="489"/>
      <c r="K160" s="489"/>
      <c r="L160" s="489"/>
      <c r="M160" s="489"/>
      <c r="N160" s="489"/>
      <c r="O160" s="489"/>
      <c r="P160" s="489"/>
      <c r="Q160" s="489"/>
      <c r="R160" s="489"/>
      <c r="S160" s="489"/>
      <c r="T160" s="489"/>
      <c r="U160" s="489"/>
      <c r="V160" s="489"/>
      <c r="W160" s="489"/>
      <c r="X160" s="489"/>
      <c r="Y160" s="489"/>
      <c r="Z160" s="489"/>
      <c r="AA160" s="489"/>
      <c r="AB160" s="489"/>
      <c r="AC160" s="490"/>
      <c r="AD160" s="490"/>
      <c r="AE160" s="490"/>
      <c r="AF160" s="490"/>
      <c r="AG160" s="490"/>
      <c r="AH160" s="490"/>
      <c r="AI160" s="490"/>
      <c r="AJ160" s="490"/>
      <c r="AK160" s="490"/>
      <c r="AL160" s="490"/>
      <c r="AM160" s="490"/>
      <c r="AN160" s="490"/>
      <c r="AO160" s="490"/>
      <c r="AP160" s="492"/>
      <c r="AQ160" s="492"/>
    </row>
    <row r="161" spans="2:45" ht="27.75" customHeight="1" x14ac:dyDescent="0.4">
      <c r="C161" s="477" t="s">
        <v>1</v>
      </c>
      <c r="D161" s="477"/>
      <c r="E161" s="477"/>
      <c r="F161" s="477"/>
      <c r="G161" s="478" t="str">
        <f>U10組合せ!I33</f>
        <v>陽南小</v>
      </c>
      <c r="H161" s="479"/>
      <c r="I161" s="479"/>
      <c r="J161" s="479"/>
      <c r="K161" s="479"/>
      <c r="L161" s="479"/>
      <c r="M161" s="479"/>
      <c r="N161" s="479"/>
      <c r="O161" s="480"/>
      <c r="P161" s="477" t="s">
        <v>0</v>
      </c>
      <c r="Q161" s="477"/>
      <c r="R161" s="477"/>
      <c r="S161" s="477"/>
      <c r="T161" s="481" t="str">
        <f>S163</f>
        <v>緑ヶ丘YFC</v>
      </c>
      <c r="U161" s="481"/>
      <c r="V161" s="481"/>
      <c r="W161" s="481"/>
      <c r="X161" s="481"/>
      <c r="Y161" s="481"/>
      <c r="Z161" s="481"/>
      <c r="AA161" s="481"/>
      <c r="AB161" s="481"/>
      <c r="AC161" s="477" t="s">
        <v>2</v>
      </c>
      <c r="AD161" s="477"/>
      <c r="AE161" s="477"/>
      <c r="AF161" s="477"/>
      <c r="AG161" s="482">
        <f>U10組合せ!B$31</f>
        <v>44325</v>
      </c>
      <c r="AH161" s="483"/>
      <c r="AI161" s="483"/>
      <c r="AJ161" s="483"/>
      <c r="AK161" s="483"/>
      <c r="AL161" s="483"/>
      <c r="AM161" s="484" t="str">
        <f>"（"&amp;TEXT(AG161,"aaa")&amp;"）"</f>
        <v>（日）</v>
      </c>
      <c r="AN161" s="484"/>
      <c r="AO161" s="485"/>
    </row>
    <row r="162" spans="2:45" ht="15" customHeight="1" x14ac:dyDescent="0.4">
      <c r="C162" s="134" t="str">
        <f>U10組合せ!G34</f>
        <v>B247</v>
      </c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3"/>
      <c r="X162" s="133"/>
      <c r="Y162" s="133"/>
      <c r="Z162" s="133"/>
      <c r="AA162" s="133"/>
      <c r="AB162" s="133"/>
      <c r="AC162" s="133"/>
    </row>
    <row r="163" spans="2:45" s="155" customFormat="1" ht="29.25" customHeight="1" x14ac:dyDescent="0.4">
      <c r="B163" s="134"/>
      <c r="C163" s="486">
        <v>1</v>
      </c>
      <c r="D163" s="486"/>
      <c r="E163" s="487" t="str">
        <f>VLOOKUP(C163,U10組合せ!$B$10:$I$17,7,TRUE)</f>
        <v>宇大付属小SSS　U-10</v>
      </c>
      <c r="F163" s="487"/>
      <c r="G163" s="487"/>
      <c r="H163" s="487"/>
      <c r="I163" s="487"/>
      <c r="J163" s="487"/>
      <c r="K163" s="487"/>
      <c r="L163" s="487"/>
      <c r="M163" s="487"/>
      <c r="N163" s="487"/>
      <c r="O163" s="148"/>
      <c r="P163" s="148"/>
      <c r="Q163" s="481">
        <v>4</v>
      </c>
      <c r="R163" s="481"/>
      <c r="S163" s="488" t="str">
        <f>VLOOKUP(Q163,U10組合せ!$B$10:$I$17,7,TRUE)</f>
        <v>緑ヶ丘YFC</v>
      </c>
      <c r="T163" s="488"/>
      <c r="U163" s="488"/>
      <c r="V163" s="488"/>
      <c r="W163" s="488"/>
      <c r="X163" s="488"/>
      <c r="Y163" s="488"/>
      <c r="Z163" s="488"/>
      <c r="AA163" s="488"/>
      <c r="AB163" s="488"/>
      <c r="AC163" s="131"/>
      <c r="AD163" s="132"/>
      <c r="AE163" s="481">
        <v>7</v>
      </c>
      <c r="AF163" s="481"/>
      <c r="AG163" s="488" t="str">
        <f>VLOOKUP(AE163,U10組合せ!$B$10:$I$17,7,TRUE)</f>
        <v>FC　Riso</v>
      </c>
      <c r="AH163" s="488"/>
      <c r="AI163" s="488"/>
      <c r="AJ163" s="488"/>
      <c r="AK163" s="488"/>
      <c r="AL163" s="488"/>
      <c r="AM163" s="488"/>
      <c r="AN163" s="488"/>
      <c r="AO163" s="488"/>
      <c r="AP163" s="488"/>
      <c r="AR163" s="155">
        <f>170/2</f>
        <v>85</v>
      </c>
    </row>
    <row r="164" spans="2:45" s="155" customFormat="1" ht="29.25" customHeight="1" x14ac:dyDescent="0.4">
      <c r="C164" s="481">
        <v>2</v>
      </c>
      <c r="D164" s="481"/>
      <c r="E164" s="488" t="str">
        <f>VLOOKUP(C164,U10組合せ!$B$10:$I$17,7,TRUE)</f>
        <v>S4スぺランツァ</v>
      </c>
      <c r="F164" s="488"/>
      <c r="G164" s="488"/>
      <c r="H164" s="488"/>
      <c r="I164" s="488"/>
      <c r="J164" s="488"/>
      <c r="K164" s="488"/>
      <c r="L164" s="488"/>
      <c r="M164" s="488"/>
      <c r="N164" s="488"/>
      <c r="O164" s="148"/>
      <c r="P164" s="148"/>
      <c r="Q164" s="486">
        <v>5</v>
      </c>
      <c r="R164" s="486"/>
      <c r="S164" s="487" t="str">
        <f>VLOOKUP(Q164,U10組合せ!$B$10:$I$17,7,TRUE)</f>
        <v>カテット白沢</v>
      </c>
      <c r="T164" s="487"/>
      <c r="U164" s="487"/>
      <c r="V164" s="487"/>
      <c r="W164" s="487"/>
      <c r="X164" s="487"/>
      <c r="Y164" s="487"/>
      <c r="Z164" s="487"/>
      <c r="AA164" s="487"/>
      <c r="AB164" s="487"/>
      <c r="AC164" s="131"/>
      <c r="AD164" s="132"/>
      <c r="AE164" s="486">
        <v>8</v>
      </c>
      <c r="AF164" s="486"/>
      <c r="AG164" s="487"/>
      <c r="AH164" s="487"/>
      <c r="AI164" s="487"/>
      <c r="AJ164" s="487"/>
      <c r="AK164" s="487"/>
      <c r="AL164" s="487"/>
      <c r="AM164" s="487"/>
      <c r="AN164" s="487"/>
      <c r="AO164" s="487"/>
      <c r="AP164" s="487"/>
      <c r="AR164" s="155">
        <v>53</v>
      </c>
    </row>
    <row r="165" spans="2:45" s="155" customFormat="1" ht="29.25" customHeight="1" x14ac:dyDescent="0.4">
      <c r="C165" s="486">
        <v>3</v>
      </c>
      <c r="D165" s="486"/>
      <c r="E165" s="487" t="str">
        <f>VLOOKUP(C165,U10組合せ!$B$10:$I$17,7,TRUE)</f>
        <v>豊郷JFC宇都宮U-10</v>
      </c>
      <c r="F165" s="487"/>
      <c r="G165" s="487"/>
      <c r="H165" s="487"/>
      <c r="I165" s="487"/>
      <c r="J165" s="487"/>
      <c r="K165" s="487"/>
      <c r="L165" s="487"/>
      <c r="M165" s="487"/>
      <c r="N165" s="487"/>
      <c r="O165" s="148"/>
      <c r="P165" s="148"/>
      <c r="Q165" s="486">
        <v>6</v>
      </c>
      <c r="R165" s="486"/>
      <c r="S165" s="487" t="str">
        <f>VLOOKUP(Q165,U10組合せ!$B$10:$I$17,7,TRUE)</f>
        <v>FC みらい</v>
      </c>
      <c r="T165" s="487"/>
      <c r="U165" s="487"/>
      <c r="V165" s="487"/>
      <c r="W165" s="487"/>
      <c r="X165" s="487"/>
      <c r="Y165" s="487"/>
      <c r="Z165" s="487"/>
      <c r="AA165" s="487"/>
      <c r="AB165" s="487"/>
      <c r="AC165" s="131"/>
      <c r="AD165" s="132"/>
      <c r="AE165" s="486">
        <v>9</v>
      </c>
      <c r="AF165" s="486"/>
      <c r="AG165" s="487"/>
      <c r="AH165" s="487"/>
      <c r="AI165" s="487"/>
      <c r="AJ165" s="487"/>
      <c r="AK165" s="487"/>
      <c r="AL165" s="487"/>
      <c r="AM165" s="487"/>
      <c r="AN165" s="487"/>
      <c r="AO165" s="487"/>
      <c r="AP165" s="487"/>
      <c r="AR165" s="155">
        <f>AR163-AR164</f>
        <v>32</v>
      </c>
    </row>
    <row r="166" spans="2:45" ht="8.25" customHeight="1" x14ac:dyDescent="0.4">
      <c r="O166" s="138"/>
      <c r="P166" s="138"/>
      <c r="AC166" s="133"/>
    </row>
    <row r="167" spans="2:45" ht="8.25" customHeight="1" x14ac:dyDescent="0.4">
      <c r="C167" s="149"/>
      <c r="D167" s="150"/>
      <c r="E167" s="150"/>
      <c r="F167" s="150"/>
      <c r="G167" s="150"/>
      <c r="H167" s="150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50"/>
      <c r="U167" s="138"/>
      <c r="V167" s="150"/>
      <c r="W167" s="138"/>
      <c r="X167" s="150"/>
      <c r="Y167" s="138"/>
      <c r="Z167" s="150"/>
      <c r="AA167" s="138"/>
      <c r="AB167" s="150"/>
      <c r="AC167" s="150"/>
    </row>
    <row r="168" spans="2:45" ht="21" customHeight="1" x14ac:dyDescent="0.4">
      <c r="B168" s="134" t="s">
        <v>181</v>
      </c>
    </row>
    <row r="169" spans="2:45" ht="20.25" customHeight="1" x14ac:dyDescent="0.4">
      <c r="B169" s="135"/>
      <c r="C169" s="469" t="s">
        <v>3</v>
      </c>
      <c r="D169" s="469"/>
      <c r="E169" s="469"/>
      <c r="F169" s="470" t="s">
        <v>4</v>
      </c>
      <c r="G169" s="470"/>
      <c r="H169" s="470"/>
      <c r="I169" s="470"/>
      <c r="J169" s="469" t="s">
        <v>5</v>
      </c>
      <c r="K169" s="471"/>
      <c r="L169" s="471"/>
      <c r="M169" s="471"/>
      <c r="N169" s="471"/>
      <c r="O169" s="471"/>
      <c r="P169" s="471"/>
      <c r="Q169" s="469" t="s">
        <v>40</v>
      </c>
      <c r="R169" s="469"/>
      <c r="S169" s="469"/>
      <c r="T169" s="469"/>
      <c r="U169" s="469"/>
      <c r="V169" s="469"/>
      <c r="W169" s="469"/>
      <c r="X169" s="469" t="s">
        <v>5</v>
      </c>
      <c r="Y169" s="471"/>
      <c r="Z169" s="471"/>
      <c r="AA169" s="471"/>
      <c r="AB169" s="471"/>
      <c r="AC169" s="471"/>
      <c r="AD169" s="471"/>
      <c r="AE169" s="470" t="s">
        <v>4</v>
      </c>
      <c r="AF169" s="470"/>
      <c r="AG169" s="470"/>
      <c r="AH169" s="470"/>
      <c r="AI169" s="469" t="s">
        <v>7</v>
      </c>
      <c r="AJ169" s="469"/>
      <c r="AK169" s="471"/>
      <c r="AL169" s="471"/>
      <c r="AM169" s="471"/>
      <c r="AN169" s="471"/>
      <c r="AO169" s="471"/>
      <c r="AP169" s="471"/>
    </row>
    <row r="170" spans="2:45" ht="20.100000000000001" customHeight="1" x14ac:dyDescent="0.4">
      <c r="B170" s="442" t="str">
        <f ca="1">DBCS(INDIRECT("U10対戦スケジュール!m"&amp;(ROW())/2-32))</f>
        <v>①</v>
      </c>
      <c r="C170" s="461">
        <f ca="1">VLOOKUP(B170,U10対戦スケジュール!M$53:R$55,2,TRUE)</f>
        <v>0.375</v>
      </c>
      <c r="D170" s="462"/>
      <c r="E170" s="463"/>
      <c r="F170" s="449"/>
      <c r="G170" s="449"/>
      <c r="H170" s="449"/>
      <c r="I170" s="449"/>
      <c r="J170" s="467" t="str">
        <f ca="1">VLOOKUP(AR170,U10組合せ!$B$10:$I$17,7,TRUE)</f>
        <v>緑ヶ丘YFC</v>
      </c>
      <c r="K170" s="468"/>
      <c r="L170" s="468"/>
      <c r="M170" s="468"/>
      <c r="N170" s="468"/>
      <c r="O170" s="468"/>
      <c r="P170" s="468"/>
      <c r="Q170" s="446">
        <f>IF(OR(S170="",S171=""),"",S170+S171)</f>
        <v>0</v>
      </c>
      <c r="R170" s="446"/>
      <c r="S170" s="136">
        <v>0</v>
      </c>
      <c r="T170" s="137" t="s">
        <v>8</v>
      </c>
      <c r="U170" s="136">
        <v>3</v>
      </c>
      <c r="V170" s="446">
        <f>IF(OR(U170="",U171=""),"",U170+U171)</f>
        <v>6</v>
      </c>
      <c r="W170" s="446"/>
      <c r="X170" s="467" t="str">
        <f ca="1">VLOOKUP(AS170,U10組合せ!$B$10:$I$17,7,TRUE)</f>
        <v>FC　Riso</v>
      </c>
      <c r="Y170" s="468"/>
      <c r="Z170" s="468"/>
      <c r="AA170" s="468"/>
      <c r="AB170" s="468"/>
      <c r="AC170" s="468"/>
      <c r="AD170" s="468"/>
      <c r="AE170" s="449"/>
      <c r="AF170" s="449"/>
      <c r="AG170" s="449"/>
      <c r="AH170" s="449"/>
      <c r="AI170" s="446" t="str">
        <f ca="1">DBCS(VLOOKUP(B170,U10対戦スケジュール!M$53:R$55,6,TRUE))</f>
        <v>２／４／７／２</v>
      </c>
      <c r="AJ170" s="449" t="e">
        <f>VLOOKUP(#REF!,U10対戦スケジュール!#REF!,3,TRUE)</f>
        <v>#REF!</v>
      </c>
      <c r="AK170" s="449" t="e">
        <f>VLOOKUP(#REF!,U10対戦スケジュール!#REF!,3,TRUE)</f>
        <v>#REF!</v>
      </c>
      <c r="AL170" s="449" t="e">
        <f>VLOOKUP(#REF!,U10対戦スケジュール!#REF!,3,TRUE)</f>
        <v>#REF!</v>
      </c>
      <c r="AM170" s="449" t="e">
        <f>VLOOKUP(#REF!,U10対戦スケジュール!#REF!,3,TRUE)</f>
        <v>#REF!</v>
      </c>
      <c r="AN170" s="449" t="e">
        <f>VLOOKUP(#REF!,U10対戦スケジュール!#REF!,3,TRUE)</f>
        <v>#REF!</v>
      </c>
      <c r="AO170" s="449" t="e">
        <f>VLOOKUP(#REF!,U10対戦スケジュール!#REF!,3,TRUE)</f>
        <v>#REF!</v>
      </c>
      <c r="AP170" s="449" t="e">
        <f>VLOOKUP(#REF!,U10対戦スケジュール!#REF!,3,TRUE)</f>
        <v>#REF!</v>
      </c>
      <c r="AR170" s="151">
        <f ca="1">VLOOKUP(B170,U10対戦スケジュール!M$53:R$55,3,TRUE)</f>
        <v>4</v>
      </c>
      <c r="AS170" s="151">
        <f ca="1">VLOOKUP(B170,U10対戦スケジュール!M$53:R$55,5)</f>
        <v>7</v>
      </c>
    </row>
    <row r="171" spans="2:45" ht="20.100000000000001" customHeight="1" x14ac:dyDescent="0.4">
      <c r="B171" s="442"/>
      <c r="C171" s="464"/>
      <c r="D171" s="465"/>
      <c r="E171" s="466"/>
      <c r="F171" s="449"/>
      <c r="G171" s="449"/>
      <c r="H171" s="449"/>
      <c r="I171" s="449"/>
      <c r="J171" s="468"/>
      <c r="K171" s="468"/>
      <c r="L171" s="468"/>
      <c r="M171" s="468"/>
      <c r="N171" s="468"/>
      <c r="O171" s="468"/>
      <c r="P171" s="468"/>
      <c r="Q171" s="446"/>
      <c r="R171" s="446"/>
      <c r="S171" s="136">
        <v>0</v>
      </c>
      <c r="T171" s="137" t="s">
        <v>8</v>
      </c>
      <c r="U171" s="136">
        <v>3</v>
      </c>
      <c r="V171" s="446"/>
      <c r="W171" s="446"/>
      <c r="X171" s="468"/>
      <c r="Y171" s="468"/>
      <c r="Z171" s="468"/>
      <c r="AA171" s="468"/>
      <c r="AB171" s="468"/>
      <c r="AC171" s="468"/>
      <c r="AD171" s="468"/>
      <c r="AE171" s="449"/>
      <c r="AF171" s="449"/>
      <c r="AG171" s="449"/>
      <c r="AH171" s="449"/>
      <c r="AI171" s="449" t="e">
        <f>VLOOKUP(#REF!,U10対戦スケジュール!#REF!,3,TRUE)</f>
        <v>#REF!</v>
      </c>
      <c r="AJ171" s="449" t="e">
        <f>VLOOKUP(#REF!,U10対戦スケジュール!#REF!,3,TRUE)</f>
        <v>#REF!</v>
      </c>
      <c r="AK171" s="449" t="e">
        <f>VLOOKUP(#REF!,U10対戦スケジュール!#REF!,3,TRUE)</f>
        <v>#REF!</v>
      </c>
      <c r="AL171" s="449" t="e">
        <f>VLOOKUP(#REF!,U10対戦スケジュール!#REF!,3,TRUE)</f>
        <v>#REF!</v>
      </c>
      <c r="AM171" s="449" t="e">
        <f>VLOOKUP(#REF!,U10対戦スケジュール!#REF!,3,TRUE)</f>
        <v>#REF!</v>
      </c>
      <c r="AN171" s="449" t="e">
        <f>VLOOKUP(#REF!,U10対戦スケジュール!#REF!,3,TRUE)</f>
        <v>#REF!</v>
      </c>
      <c r="AO171" s="449" t="e">
        <f>VLOOKUP(#REF!,U10対戦スケジュール!#REF!,3,TRUE)</f>
        <v>#REF!</v>
      </c>
      <c r="AP171" s="449" t="e">
        <f>VLOOKUP(#REF!,U10対戦スケジュール!#REF!,3,TRUE)</f>
        <v>#REF!</v>
      </c>
      <c r="AR171" s="151"/>
      <c r="AS171" s="151"/>
    </row>
    <row r="172" spans="2:45" ht="20.100000000000001" customHeight="1" x14ac:dyDescent="0.4">
      <c r="B172" s="442" t="str">
        <f ca="1">DBCS(INDIRECT("U10対戦スケジュール!m"&amp;(ROW())/2-32))</f>
        <v>②</v>
      </c>
      <c r="C172" s="461">
        <f ca="1">VLOOKUP(B172,U10対戦スケジュール!M$53:R$55,2,TRUE)</f>
        <v>0.41000000000000003</v>
      </c>
      <c r="D172" s="462"/>
      <c r="E172" s="463"/>
      <c r="F172" s="449"/>
      <c r="G172" s="449"/>
      <c r="H172" s="449"/>
      <c r="I172" s="449"/>
      <c r="J172" s="467" t="str">
        <f ca="1">VLOOKUP(AR172,U10組合せ!$B$10:$I$17,7,TRUE)</f>
        <v>S4スぺランツァ</v>
      </c>
      <c r="K172" s="468"/>
      <c r="L172" s="468"/>
      <c r="M172" s="468"/>
      <c r="N172" s="468"/>
      <c r="O172" s="468"/>
      <c r="P172" s="468"/>
      <c r="Q172" s="446">
        <f>IF(OR(S172="",S173=""),"",S172+S173)</f>
        <v>4</v>
      </c>
      <c r="R172" s="446"/>
      <c r="S172" s="136">
        <v>3</v>
      </c>
      <c r="T172" s="137" t="s">
        <v>8</v>
      </c>
      <c r="U172" s="136">
        <v>0</v>
      </c>
      <c r="V172" s="446">
        <f>IF(OR(U172="",U173=""),"",U172+U173)</f>
        <v>0</v>
      </c>
      <c r="W172" s="446"/>
      <c r="X172" s="467" t="str">
        <f ca="1">VLOOKUP(AS172,U10組合せ!$B$10:$I$17,7,TRUE)</f>
        <v>緑ヶ丘YFC</v>
      </c>
      <c r="Y172" s="468"/>
      <c r="Z172" s="468"/>
      <c r="AA172" s="468"/>
      <c r="AB172" s="468"/>
      <c r="AC172" s="468"/>
      <c r="AD172" s="468"/>
      <c r="AE172" s="449"/>
      <c r="AF172" s="449"/>
      <c r="AG172" s="449"/>
      <c r="AH172" s="449"/>
      <c r="AI172" s="446" t="str">
        <f ca="1">DBCS(VLOOKUP(B172,U10対戦スケジュール!M$53:R$55,6,TRUE))</f>
        <v>７／２／４／７</v>
      </c>
      <c r="AJ172" s="449" t="e">
        <f>VLOOKUP(#REF!,U10対戦スケジュール!#REF!,3,TRUE)</f>
        <v>#REF!</v>
      </c>
      <c r="AK172" s="449" t="e">
        <f>VLOOKUP(#REF!,U10対戦スケジュール!#REF!,3,TRUE)</f>
        <v>#REF!</v>
      </c>
      <c r="AL172" s="449" t="e">
        <f>VLOOKUP(#REF!,U10対戦スケジュール!#REF!,3,TRUE)</f>
        <v>#REF!</v>
      </c>
      <c r="AM172" s="449" t="e">
        <f>VLOOKUP(#REF!,U10対戦スケジュール!#REF!,3,TRUE)</f>
        <v>#REF!</v>
      </c>
      <c r="AN172" s="449" t="e">
        <f>VLOOKUP(#REF!,U10対戦スケジュール!#REF!,3,TRUE)</f>
        <v>#REF!</v>
      </c>
      <c r="AO172" s="449" t="e">
        <f>VLOOKUP(#REF!,U10対戦スケジュール!#REF!,3,TRUE)</f>
        <v>#REF!</v>
      </c>
      <c r="AP172" s="449" t="e">
        <f>VLOOKUP(#REF!,U10対戦スケジュール!#REF!,3,TRUE)</f>
        <v>#REF!</v>
      </c>
      <c r="AR172" s="151">
        <f ca="1">VLOOKUP(B172,U10対戦スケジュール!M$53:R$55,3,TRUE)</f>
        <v>2</v>
      </c>
      <c r="AS172" s="151">
        <f ca="1">VLOOKUP(B172,U10対戦スケジュール!M$53:R$55,5)</f>
        <v>4</v>
      </c>
    </row>
    <row r="173" spans="2:45" ht="20.100000000000001" customHeight="1" x14ac:dyDescent="0.4">
      <c r="B173" s="442"/>
      <c r="C173" s="464"/>
      <c r="D173" s="465"/>
      <c r="E173" s="466"/>
      <c r="F173" s="449"/>
      <c r="G173" s="449"/>
      <c r="H173" s="449"/>
      <c r="I173" s="449"/>
      <c r="J173" s="468"/>
      <c r="K173" s="468"/>
      <c r="L173" s="468"/>
      <c r="M173" s="468"/>
      <c r="N173" s="468"/>
      <c r="O173" s="468"/>
      <c r="P173" s="468"/>
      <c r="Q173" s="446"/>
      <c r="R173" s="446"/>
      <c r="S173" s="136">
        <v>1</v>
      </c>
      <c r="T173" s="137" t="s">
        <v>8</v>
      </c>
      <c r="U173" s="136">
        <v>0</v>
      </c>
      <c r="V173" s="446"/>
      <c r="W173" s="446"/>
      <c r="X173" s="468"/>
      <c r="Y173" s="468"/>
      <c r="Z173" s="468"/>
      <c r="AA173" s="468"/>
      <c r="AB173" s="468"/>
      <c r="AC173" s="468"/>
      <c r="AD173" s="468"/>
      <c r="AE173" s="449"/>
      <c r="AF173" s="449"/>
      <c r="AG173" s="449"/>
      <c r="AH173" s="449"/>
      <c r="AI173" s="449" t="e">
        <f>VLOOKUP(#REF!,U10対戦スケジュール!#REF!,3,TRUE)</f>
        <v>#REF!</v>
      </c>
      <c r="AJ173" s="449" t="e">
        <f>VLOOKUP(#REF!,U10対戦スケジュール!#REF!,3,TRUE)</f>
        <v>#REF!</v>
      </c>
      <c r="AK173" s="449" t="e">
        <f>VLOOKUP(#REF!,U10対戦スケジュール!#REF!,3,TRUE)</f>
        <v>#REF!</v>
      </c>
      <c r="AL173" s="449" t="e">
        <f>VLOOKUP(#REF!,U10対戦スケジュール!#REF!,3,TRUE)</f>
        <v>#REF!</v>
      </c>
      <c r="AM173" s="449" t="e">
        <f>VLOOKUP(#REF!,U10対戦スケジュール!#REF!,3,TRUE)</f>
        <v>#REF!</v>
      </c>
      <c r="AN173" s="449" t="e">
        <f>VLOOKUP(#REF!,U10対戦スケジュール!#REF!,3,TRUE)</f>
        <v>#REF!</v>
      </c>
      <c r="AO173" s="449" t="e">
        <f>VLOOKUP(#REF!,U10対戦スケジュール!#REF!,3,TRUE)</f>
        <v>#REF!</v>
      </c>
      <c r="AP173" s="449" t="e">
        <f>VLOOKUP(#REF!,U10対戦スケジュール!#REF!,3,TRUE)</f>
        <v>#REF!</v>
      </c>
    </row>
    <row r="174" spans="2:45" ht="20.100000000000001" customHeight="1" x14ac:dyDescent="0.4">
      <c r="B174" s="442" t="str">
        <f ca="1">DBCS(INDIRECT("U10対戦スケジュール!m"&amp;(ROW())/2-32))</f>
        <v>③</v>
      </c>
      <c r="C174" s="461">
        <f ca="1">VLOOKUP(B174,U10対戦スケジュール!M$53:R$55,2,TRUE)</f>
        <v>0.44500000000000006</v>
      </c>
      <c r="D174" s="462"/>
      <c r="E174" s="463"/>
      <c r="F174" s="449"/>
      <c r="G174" s="449"/>
      <c r="H174" s="449"/>
      <c r="I174" s="449"/>
      <c r="J174" s="467" t="str">
        <f ca="1">VLOOKUP(AR174,U10組合せ!$B$10:$I$17,7,TRUE)</f>
        <v>S4スぺランツァ</v>
      </c>
      <c r="K174" s="468"/>
      <c r="L174" s="468"/>
      <c r="M174" s="468"/>
      <c r="N174" s="468"/>
      <c r="O174" s="468"/>
      <c r="P174" s="468"/>
      <c r="Q174" s="446">
        <f>IF(OR(S174="",S175=""),"",S174+S175)</f>
        <v>0</v>
      </c>
      <c r="R174" s="446"/>
      <c r="S174" s="136">
        <v>0</v>
      </c>
      <c r="T174" s="137"/>
      <c r="U174" s="136">
        <v>0</v>
      </c>
      <c r="V174" s="446">
        <f>IF(OR(U174="",U175=""),"",U174+U175)</f>
        <v>0</v>
      </c>
      <c r="W174" s="446"/>
      <c r="X174" s="467" t="str">
        <f ca="1">VLOOKUP(AS174,U10組合せ!$B$10:$I$17,7,TRUE)</f>
        <v>FC　Riso</v>
      </c>
      <c r="Y174" s="468"/>
      <c r="Z174" s="468"/>
      <c r="AA174" s="468"/>
      <c r="AB174" s="468"/>
      <c r="AC174" s="468"/>
      <c r="AD174" s="468"/>
      <c r="AE174" s="449"/>
      <c r="AF174" s="449"/>
      <c r="AG174" s="449"/>
      <c r="AH174" s="449"/>
      <c r="AI174" s="446" t="str">
        <f ca="1">DBCS(VLOOKUP(B174,U10対戦スケジュール!M$53:R$55,6,TRUE))</f>
        <v>４／７／２／４</v>
      </c>
      <c r="AJ174" s="449" t="e">
        <f>VLOOKUP(#REF!,U10対戦スケジュール!#REF!,3,TRUE)</f>
        <v>#REF!</v>
      </c>
      <c r="AK174" s="449" t="e">
        <f>VLOOKUP(#REF!,U10対戦スケジュール!#REF!,3,TRUE)</f>
        <v>#REF!</v>
      </c>
      <c r="AL174" s="449" t="e">
        <f>VLOOKUP(#REF!,U10対戦スケジュール!#REF!,3,TRUE)</f>
        <v>#REF!</v>
      </c>
      <c r="AM174" s="449" t="e">
        <f>VLOOKUP(#REF!,U10対戦スケジュール!#REF!,3,TRUE)</f>
        <v>#REF!</v>
      </c>
      <c r="AN174" s="449" t="e">
        <f>VLOOKUP(#REF!,U10対戦スケジュール!#REF!,3,TRUE)</f>
        <v>#REF!</v>
      </c>
      <c r="AO174" s="449" t="e">
        <f>VLOOKUP(#REF!,U10対戦スケジュール!#REF!,3,TRUE)</f>
        <v>#REF!</v>
      </c>
      <c r="AP174" s="449" t="e">
        <f>VLOOKUP(#REF!,U10対戦スケジュール!#REF!,3,TRUE)</f>
        <v>#REF!</v>
      </c>
      <c r="AR174" s="151">
        <f ca="1">VLOOKUP(B174,U10対戦スケジュール!M$53:R$55,3,TRUE)</f>
        <v>2</v>
      </c>
      <c r="AS174" s="151">
        <f ca="1">VLOOKUP(B174,U10対戦スケジュール!M$53:R$55,5)</f>
        <v>7</v>
      </c>
    </row>
    <row r="175" spans="2:45" ht="20.100000000000001" customHeight="1" x14ac:dyDescent="0.4">
      <c r="B175" s="442"/>
      <c r="C175" s="464"/>
      <c r="D175" s="465"/>
      <c r="E175" s="466"/>
      <c r="F175" s="449"/>
      <c r="G175" s="449"/>
      <c r="H175" s="449"/>
      <c r="I175" s="449"/>
      <c r="J175" s="468"/>
      <c r="K175" s="468"/>
      <c r="L175" s="468"/>
      <c r="M175" s="468"/>
      <c r="N175" s="468"/>
      <c r="O175" s="468"/>
      <c r="P175" s="468"/>
      <c r="Q175" s="446"/>
      <c r="R175" s="446"/>
      <c r="S175" s="136">
        <v>0</v>
      </c>
      <c r="T175" s="137"/>
      <c r="U175" s="136">
        <v>0</v>
      </c>
      <c r="V175" s="446"/>
      <c r="W175" s="446"/>
      <c r="X175" s="468"/>
      <c r="Y175" s="468"/>
      <c r="Z175" s="468"/>
      <c r="AA175" s="468"/>
      <c r="AB175" s="468"/>
      <c r="AC175" s="468"/>
      <c r="AD175" s="468"/>
      <c r="AE175" s="449"/>
      <c r="AF175" s="449"/>
      <c r="AG175" s="449"/>
      <c r="AH175" s="449"/>
      <c r="AI175" s="449" t="e">
        <f>VLOOKUP(#REF!,U10対戦スケジュール!#REF!,3,TRUE)</f>
        <v>#REF!</v>
      </c>
      <c r="AJ175" s="449" t="e">
        <f>VLOOKUP(#REF!,U10対戦スケジュール!#REF!,3,TRUE)</f>
        <v>#REF!</v>
      </c>
      <c r="AK175" s="449" t="e">
        <f>VLOOKUP(#REF!,U10対戦スケジュール!#REF!,3,TRUE)</f>
        <v>#REF!</v>
      </c>
      <c r="AL175" s="449" t="e">
        <f>VLOOKUP(#REF!,U10対戦スケジュール!#REF!,3,TRUE)</f>
        <v>#REF!</v>
      </c>
      <c r="AM175" s="449" t="e">
        <f>VLOOKUP(#REF!,U10対戦スケジュール!#REF!,3,TRUE)</f>
        <v>#REF!</v>
      </c>
      <c r="AN175" s="449" t="e">
        <f>VLOOKUP(#REF!,U10対戦スケジュール!#REF!,3,TRUE)</f>
        <v>#REF!</v>
      </c>
      <c r="AO175" s="449" t="e">
        <f>VLOOKUP(#REF!,U10対戦スケジュール!#REF!,3,TRUE)</f>
        <v>#REF!</v>
      </c>
      <c r="AP175" s="449" t="e">
        <f>VLOOKUP(#REF!,U10対戦スケジュール!#REF!,3,TRUE)</f>
        <v>#REF!</v>
      </c>
      <c r="AR175" s="151"/>
      <c r="AS175" s="151"/>
    </row>
    <row r="176" spans="2:45" ht="20.100000000000001" customHeight="1" x14ac:dyDescent="0.4">
      <c r="B176" s="442" t="str">
        <f ca="1">DBCS(INDIRECT("U10対戦スケジュール!G"&amp;(ROW())/2-32))</f>
        <v/>
      </c>
      <c r="C176" s="461"/>
      <c r="D176" s="462"/>
      <c r="E176" s="463"/>
      <c r="F176" s="449"/>
      <c r="G176" s="449"/>
      <c r="H176" s="449"/>
      <c r="I176" s="449"/>
      <c r="J176" s="467"/>
      <c r="K176" s="468"/>
      <c r="L176" s="468"/>
      <c r="M176" s="468"/>
      <c r="N176" s="468"/>
      <c r="O176" s="468"/>
      <c r="P176" s="468"/>
      <c r="Q176" s="446"/>
      <c r="R176" s="446"/>
      <c r="S176" s="136"/>
      <c r="T176" s="137"/>
      <c r="U176" s="136"/>
      <c r="V176" s="446"/>
      <c r="W176" s="446"/>
      <c r="X176" s="467"/>
      <c r="Y176" s="468"/>
      <c r="Z176" s="468"/>
      <c r="AA176" s="468"/>
      <c r="AB176" s="468"/>
      <c r="AC176" s="468"/>
      <c r="AD176" s="468"/>
      <c r="AE176" s="449"/>
      <c r="AF176" s="449"/>
      <c r="AG176" s="449"/>
      <c r="AH176" s="449"/>
      <c r="AI176" s="446"/>
      <c r="AJ176" s="449"/>
      <c r="AK176" s="449"/>
      <c r="AL176" s="449"/>
      <c r="AM176" s="449"/>
      <c r="AN176" s="449"/>
      <c r="AO176" s="449"/>
      <c r="AP176" s="449"/>
      <c r="AR176" s="151"/>
      <c r="AS176" s="151"/>
    </row>
    <row r="177" spans="1:45" ht="20.100000000000001" customHeight="1" x14ac:dyDescent="0.4">
      <c r="B177" s="442"/>
      <c r="C177" s="464"/>
      <c r="D177" s="465"/>
      <c r="E177" s="466"/>
      <c r="F177" s="449"/>
      <c r="G177" s="449"/>
      <c r="H177" s="449"/>
      <c r="I177" s="449"/>
      <c r="J177" s="468"/>
      <c r="K177" s="468"/>
      <c r="L177" s="468"/>
      <c r="M177" s="468"/>
      <c r="N177" s="468"/>
      <c r="O177" s="468"/>
      <c r="P177" s="468"/>
      <c r="Q177" s="446"/>
      <c r="R177" s="446"/>
      <c r="S177" s="136"/>
      <c r="T177" s="137"/>
      <c r="U177" s="136"/>
      <c r="V177" s="446"/>
      <c r="W177" s="446"/>
      <c r="X177" s="468"/>
      <c r="Y177" s="468"/>
      <c r="Z177" s="468"/>
      <c r="AA177" s="468"/>
      <c r="AB177" s="468"/>
      <c r="AC177" s="468"/>
      <c r="AD177" s="468"/>
      <c r="AE177" s="449"/>
      <c r="AF177" s="449"/>
      <c r="AG177" s="449"/>
      <c r="AH177" s="449"/>
      <c r="AI177" s="449"/>
      <c r="AJ177" s="449"/>
      <c r="AK177" s="449"/>
      <c r="AL177" s="449"/>
      <c r="AM177" s="449"/>
      <c r="AN177" s="449"/>
      <c r="AO177" s="449"/>
      <c r="AP177" s="449"/>
      <c r="AR177" s="151"/>
      <c r="AS177" s="151"/>
    </row>
    <row r="178" spans="1:45" ht="20.100000000000001" customHeight="1" x14ac:dyDescent="0.4">
      <c r="B178" s="442"/>
      <c r="C178" s="450"/>
      <c r="D178" s="450"/>
      <c r="E178" s="450"/>
      <c r="F178" s="449"/>
      <c r="G178" s="449"/>
      <c r="H178" s="449"/>
      <c r="I178" s="449"/>
      <c r="J178" s="447"/>
      <c r="K178" s="448"/>
      <c r="L178" s="448"/>
      <c r="M178" s="448"/>
      <c r="N178" s="448"/>
      <c r="O178" s="448"/>
      <c r="P178" s="448"/>
      <c r="Q178" s="446"/>
      <c r="R178" s="446"/>
      <c r="S178" s="136"/>
      <c r="T178" s="137"/>
      <c r="U178" s="136"/>
      <c r="V178" s="446"/>
      <c r="W178" s="446"/>
      <c r="X178" s="447"/>
      <c r="Y178" s="448"/>
      <c r="Z178" s="448"/>
      <c r="AA178" s="448"/>
      <c r="AB178" s="448"/>
      <c r="AC178" s="448"/>
      <c r="AD178" s="448"/>
      <c r="AE178" s="449"/>
      <c r="AF178" s="449"/>
      <c r="AG178" s="449"/>
      <c r="AH178" s="449"/>
      <c r="AI178" s="446"/>
      <c r="AJ178" s="449"/>
      <c r="AK178" s="449"/>
      <c r="AL178" s="449"/>
      <c r="AM178" s="449"/>
      <c r="AN178" s="449"/>
      <c r="AO178" s="449"/>
      <c r="AP178" s="449"/>
      <c r="AR178" s="151"/>
      <c r="AS178" s="151"/>
    </row>
    <row r="179" spans="1:45" ht="20.100000000000001" customHeight="1" x14ac:dyDescent="0.4">
      <c r="B179" s="442"/>
      <c r="C179" s="450"/>
      <c r="D179" s="450"/>
      <c r="E179" s="450"/>
      <c r="F179" s="449"/>
      <c r="G179" s="449"/>
      <c r="H179" s="449"/>
      <c r="I179" s="449"/>
      <c r="J179" s="448"/>
      <c r="K179" s="448"/>
      <c r="L179" s="448"/>
      <c r="M179" s="448"/>
      <c r="N179" s="448"/>
      <c r="O179" s="448"/>
      <c r="P179" s="448"/>
      <c r="Q179" s="446"/>
      <c r="R179" s="446"/>
      <c r="S179" s="136"/>
      <c r="T179" s="137"/>
      <c r="U179" s="136"/>
      <c r="V179" s="446"/>
      <c r="W179" s="446"/>
      <c r="X179" s="448"/>
      <c r="Y179" s="448"/>
      <c r="Z179" s="448"/>
      <c r="AA179" s="448"/>
      <c r="AB179" s="448"/>
      <c r="AC179" s="448"/>
      <c r="AD179" s="448"/>
      <c r="AE179" s="449"/>
      <c r="AF179" s="449"/>
      <c r="AG179" s="449"/>
      <c r="AH179" s="449"/>
      <c r="AI179" s="449"/>
      <c r="AJ179" s="449"/>
      <c r="AK179" s="449"/>
      <c r="AL179" s="449"/>
      <c r="AM179" s="449"/>
      <c r="AN179" s="449"/>
      <c r="AO179" s="449"/>
      <c r="AP179" s="449"/>
      <c r="AR179" s="151"/>
      <c r="AS179" s="151"/>
    </row>
    <row r="180" spans="1:45" ht="20.100000000000001" customHeight="1" x14ac:dyDescent="0.4">
      <c r="B180" s="442"/>
      <c r="C180" s="450"/>
      <c r="D180" s="450"/>
      <c r="E180" s="450"/>
      <c r="F180" s="449"/>
      <c r="G180" s="449"/>
      <c r="H180" s="449"/>
      <c r="I180" s="449"/>
      <c r="J180" s="447"/>
      <c r="K180" s="448"/>
      <c r="L180" s="448"/>
      <c r="M180" s="448"/>
      <c r="N180" s="448"/>
      <c r="O180" s="448"/>
      <c r="P180" s="448"/>
      <c r="Q180" s="446"/>
      <c r="R180" s="446"/>
      <c r="S180" s="136"/>
      <c r="T180" s="137"/>
      <c r="U180" s="136"/>
      <c r="V180" s="446"/>
      <c r="W180" s="446"/>
      <c r="X180" s="447"/>
      <c r="Y180" s="448"/>
      <c r="Z180" s="448"/>
      <c r="AA180" s="448"/>
      <c r="AB180" s="448"/>
      <c r="AC180" s="448"/>
      <c r="AD180" s="448"/>
      <c r="AE180" s="449"/>
      <c r="AF180" s="449"/>
      <c r="AG180" s="449"/>
      <c r="AH180" s="449"/>
      <c r="AI180" s="446"/>
      <c r="AJ180" s="449"/>
      <c r="AK180" s="449"/>
      <c r="AL180" s="449"/>
      <c r="AM180" s="449"/>
      <c r="AN180" s="449"/>
      <c r="AO180" s="449"/>
      <c r="AP180" s="449"/>
      <c r="AR180" s="151"/>
      <c r="AS180" s="151"/>
    </row>
    <row r="181" spans="1:45" ht="20.100000000000001" customHeight="1" x14ac:dyDescent="0.4">
      <c r="B181" s="442"/>
      <c r="C181" s="450"/>
      <c r="D181" s="450"/>
      <c r="E181" s="450"/>
      <c r="F181" s="449"/>
      <c r="G181" s="449"/>
      <c r="H181" s="449"/>
      <c r="I181" s="449"/>
      <c r="J181" s="448"/>
      <c r="K181" s="448"/>
      <c r="L181" s="448"/>
      <c r="M181" s="448"/>
      <c r="N181" s="448"/>
      <c r="O181" s="448"/>
      <c r="P181" s="448"/>
      <c r="Q181" s="446"/>
      <c r="R181" s="446"/>
      <c r="S181" s="136"/>
      <c r="T181" s="137"/>
      <c r="U181" s="136"/>
      <c r="V181" s="446"/>
      <c r="W181" s="446"/>
      <c r="X181" s="448"/>
      <c r="Y181" s="448"/>
      <c r="Z181" s="448"/>
      <c r="AA181" s="448"/>
      <c r="AB181" s="448"/>
      <c r="AC181" s="448"/>
      <c r="AD181" s="448"/>
      <c r="AE181" s="449"/>
      <c r="AF181" s="449"/>
      <c r="AG181" s="449"/>
      <c r="AH181" s="449"/>
      <c r="AI181" s="449"/>
      <c r="AJ181" s="449"/>
      <c r="AK181" s="449"/>
      <c r="AL181" s="449"/>
      <c r="AM181" s="449"/>
      <c r="AN181" s="449"/>
      <c r="AO181" s="449"/>
      <c r="AP181" s="449"/>
      <c r="AR181" s="151"/>
      <c r="AS181" s="151"/>
    </row>
    <row r="182" spans="1:45" ht="20.100000000000001" customHeight="1" x14ac:dyDescent="0.4">
      <c r="B182" s="442"/>
      <c r="C182" s="450"/>
      <c r="D182" s="450"/>
      <c r="E182" s="450"/>
      <c r="F182" s="449"/>
      <c r="G182" s="449"/>
      <c r="H182" s="449"/>
      <c r="I182" s="449"/>
      <c r="J182" s="447"/>
      <c r="K182" s="448"/>
      <c r="L182" s="448"/>
      <c r="M182" s="448"/>
      <c r="N182" s="448"/>
      <c r="O182" s="448"/>
      <c r="P182" s="448"/>
      <c r="Q182" s="446"/>
      <c r="R182" s="446"/>
      <c r="S182" s="136"/>
      <c r="T182" s="137"/>
      <c r="U182" s="136"/>
      <c r="V182" s="446"/>
      <c r="W182" s="446"/>
      <c r="X182" s="447"/>
      <c r="Y182" s="448"/>
      <c r="Z182" s="448"/>
      <c r="AA182" s="448"/>
      <c r="AB182" s="448"/>
      <c r="AC182" s="448"/>
      <c r="AD182" s="448"/>
      <c r="AE182" s="449"/>
      <c r="AF182" s="449"/>
      <c r="AG182" s="449"/>
      <c r="AH182" s="449"/>
      <c r="AI182" s="446"/>
      <c r="AJ182" s="449"/>
      <c r="AK182" s="449"/>
      <c r="AL182" s="449"/>
      <c r="AM182" s="449"/>
      <c r="AN182" s="449"/>
      <c r="AO182" s="449"/>
      <c r="AP182" s="449"/>
      <c r="AR182" s="151"/>
      <c r="AS182" s="151"/>
    </row>
    <row r="183" spans="1:45" ht="20.100000000000001" customHeight="1" x14ac:dyDescent="0.4">
      <c r="B183" s="442"/>
      <c r="C183" s="450"/>
      <c r="D183" s="450"/>
      <c r="E183" s="450"/>
      <c r="F183" s="449"/>
      <c r="G183" s="449"/>
      <c r="H183" s="449"/>
      <c r="I183" s="449"/>
      <c r="J183" s="448"/>
      <c r="K183" s="448"/>
      <c r="L183" s="448"/>
      <c r="M183" s="448"/>
      <c r="N183" s="448"/>
      <c r="O183" s="448"/>
      <c r="P183" s="448"/>
      <c r="Q183" s="446"/>
      <c r="R183" s="446"/>
      <c r="S183" s="136"/>
      <c r="T183" s="137"/>
      <c r="U183" s="136"/>
      <c r="V183" s="446"/>
      <c r="W183" s="446"/>
      <c r="X183" s="448"/>
      <c r="Y183" s="448"/>
      <c r="Z183" s="448"/>
      <c r="AA183" s="448"/>
      <c r="AB183" s="448"/>
      <c r="AC183" s="448"/>
      <c r="AD183" s="448"/>
      <c r="AE183" s="449"/>
      <c r="AF183" s="449"/>
      <c r="AG183" s="449"/>
      <c r="AH183" s="449"/>
      <c r="AI183" s="449"/>
      <c r="AJ183" s="449"/>
      <c r="AK183" s="449"/>
      <c r="AL183" s="449"/>
      <c r="AM183" s="449"/>
      <c r="AN183" s="449"/>
      <c r="AO183" s="449"/>
      <c r="AP183" s="449"/>
    </row>
    <row r="184" spans="1:45" ht="15.75" customHeight="1" x14ac:dyDescent="0.4">
      <c r="A184" s="138"/>
      <c r="B184" s="139"/>
      <c r="C184" s="140"/>
      <c r="D184" s="140"/>
      <c r="E184" s="140"/>
      <c r="F184" s="139"/>
      <c r="G184" s="139"/>
      <c r="H184" s="139"/>
      <c r="I184" s="139"/>
      <c r="J184" s="139"/>
      <c r="K184" s="141"/>
      <c r="L184" s="141"/>
      <c r="M184" s="142"/>
      <c r="N184" s="143"/>
      <c r="O184" s="142"/>
      <c r="P184" s="141"/>
      <c r="Q184" s="141"/>
      <c r="R184" s="139"/>
      <c r="S184" s="139"/>
      <c r="T184" s="139"/>
      <c r="U184" s="139"/>
      <c r="V184" s="139"/>
      <c r="W184" s="144"/>
      <c r="X184" s="144"/>
      <c r="Y184" s="144"/>
      <c r="Z184" s="144"/>
      <c r="AA184" s="144"/>
      <c r="AB184" s="144"/>
      <c r="AC184" s="138"/>
    </row>
    <row r="185" spans="1:45" ht="20.25" customHeight="1" x14ac:dyDescent="0.4">
      <c r="D185" s="442" t="s">
        <v>9</v>
      </c>
      <c r="E185" s="442"/>
      <c r="F185" s="442"/>
      <c r="G185" s="442"/>
      <c r="H185" s="442"/>
      <c r="I185" s="442"/>
      <c r="J185" s="442" t="s">
        <v>5</v>
      </c>
      <c r="K185" s="442"/>
      <c r="L185" s="442"/>
      <c r="M185" s="442"/>
      <c r="N185" s="442"/>
      <c r="O185" s="442"/>
      <c r="P185" s="442"/>
      <c r="Q185" s="442"/>
      <c r="R185" s="443" t="s">
        <v>10</v>
      </c>
      <c r="S185" s="443"/>
      <c r="T185" s="443"/>
      <c r="U185" s="443"/>
      <c r="V185" s="443"/>
      <c r="W185" s="443"/>
      <c r="X185" s="443"/>
      <c r="Y185" s="443"/>
      <c r="Z185" s="443"/>
      <c r="AA185" s="444" t="s">
        <v>11</v>
      </c>
      <c r="AB185" s="444"/>
      <c r="AC185" s="444"/>
      <c r="AD185" s="444" t="s">
        <v>12</v>
      </c>
      <c r="AE185" s="444"/>
      <c r="AF185" s="444"/>
      <c r="AG185" s="444"/>
      <c r="AH185" s="444"/>
      <c r="AI185" s="444"/>
      <c r="AJ185" s="444"/>
      <c r="AK185" s="444"/>
      <c r="AL185" s="444"/>
      <c r="AM185" s="444"/>
    </row>
    <row r="186" spans="1:45" ht="30" customHeight="1" x14ac:dyDescent="0.4">
      <c r="D186" s="442" t="s">
        <v>13</v>
      </c>
      <c r="E186" s="442"/>
      <c r="F186" s="442"/>
      <c r="G186" s="442"/>
      <c r="H186" s="442"/>
      <c r="I186" s="442"/>
      <c r="J186" s="442"/>
      <c r="K186" s="442"/>
      <c r="L186" s="442"/>
      <c r="M186" s="442"/>
      <c r="N186" s="442"/>
      <c r="O186" s="442"/>
      <c r="P186" s="442"/>
      <c r="Q186" s="442"/>
      <c r="R186" s="443"/>
      <c r="S186" s="443"/>
      <c r="T186" s="443"/>
      <c r="U186" s="443"/>
      <c r="V186" s="443"/>
      <c r="W186" s="443"/>
      <c r="X186" s="443"/>
      <c r="Y186" s="443"/>
      <c r="Z186" s="443"/>
      <c r="AA186" s="445"/>
      <c r="AB186" s="445"/>
      <c r="AC186" s="445"/>
      <c r="AD186" s="441"/>
      <c r="AE186" s="441"/>
      <c r="AF186" s="441"/>
      <c r="AG186" s="441"/>
      <c r="AH186" s="441"/>
      <c r="AI186" s="441"/>
      <c r="AJ186" s="441"/>
      <c r="AK186" s="441"/>
      <c r="AL186" s="441"/>
      <c r="AM186" s="441"/>
    </row>
    <row r="187" spans="1:45" ht="30" customHeight="1" x14ac:dyDescent="0.4">
      <c r="D187" s="442" t="s">
        <v>13</v>
      </c>
      <c r="E187" s="442"/>
      <c r="F187" s="442"/>
      <c r="G187" s="442"/>
      <c r="H187" s="442"/>
      <c r="I187" s="442"/>
      <c r="J187" s="442"/>
      <c r="K187" s="442"/>
      <c r="L187" s="442"/>
      <c r="M187" s="442"/>
      <c r="N187" s="442"/>
      <c r="O187" s="442"/>
      <c r="P187" s="442"/>
      <c r="Q187" s="442"/>
      <c r="R187" s="443"/>
      <c r="S187" s="443"/>
      <c r="T187" s="443"/>
      <c r="U187" s="443"/>
      <c r="V187" s="443"/>
      <c r="W187" s="443"/>
      <c r="X187" s="443"/>
      <c r="Y187" s="443"/>
      <c r="Z187" s="443"/>
      <c r="AA187" s="444"/>
      <c r="AB187" s="444"/>
      <c r="AC187" s="444"/>
      <c r="AD187" s="441"/>
      <c r="AE187" s="441"/>
      <c r="AF187" s="441"/>
      <c r="AG187" s="441"/>
      <c r="AH187" s="441"/>
      <c r="AI187" s="441"/>
      <c r="AJ187" s="441"/>
      <c r="AK187" s="441"/>
      <c r="AL187" s="441"/>
      <c r="AM187" s="441"/>
    </row>
    <row r="188" spans="1:45" ht="30" customHeight="1" x14ac:dyDescent="0.4">
      <c r="D188" s="442" t="s">
        <v>13</v>
      </c>
      <c r="E188" s="442"/>
      <c r="F188" s="442"/>
      <c r="G188" s="442"/>
      <c r="H188" s="442"/>
      <c r="I188" s="442"/>
      <c r="J188" s="442"/>
      <c r="K188" s="442"/>
      <c r="L188" s="442"/>
      <c r="M188" s="442"/>
      <c r="N188" s="442"/>
      <c r="O188" s="442"/>
      <c r="P188" s="442"/>
      <c r="Q188" s="442"/>
      <c r="R188" s="443"/>
      <c r="S188" s="443"/>
      <c r="T188" s="443"/>
      <c r="U188" s="443"/>
      <c r="V188" s="443"/>
      <c r="W188" s="443"/>
      <c r="X188" s="443"/>
      <c r="Y188" s="443"/>
      <c r="Z188" s="443"/>
      <c r="AA188" s="444"/>
      <c r="AB188" s="444"/>
      <c r="AC188" s="444"/>
      <c r="AD188" s="441"/>
      <c r="AE188" s="441"/>
      <c r="AF188" s="441"/>
      <c r="AG188" s="441"/>
      <c r="AH188" s="441"/>
      <c r="AI188" s="441"/>
      <c r="AJ188" s="441"/>
      <c r="AK188" s="441"/>
      <c r="AL188" s="441"/>
      <c r="AM188" s="441"/>
    </row>
    <row r="189" spans="1:45" ht="30" customHeight="1" x14ac:dyDescent="0.4">
      <c r="D189" s="442" t="s">
        <v>13</v>
      </c>
      <c r="E189" s="442"/>
      <c r="F189" s="442"/>
      <c r="G189" s="442"/>
      <c r="H189" s="442"/>
      <c r="I189" s="442"/>
      <c r="J189" s="442"/>
      <c r="K189" s="442"/>
      <c r="L189" s="442"/>
      <c r="M189" s="442"/>
      <c r="N189" s="442"/>
      <c r="O189" s="442"/>
      <c r="P189" s="442"/>
      <c r="Q189" s="442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4"/>
      <c r="AB189" s="444"/>
      <c r="AC189" s="444"/>
      <c r="AD189" s="441"/>
      <c r="AE189" s="441"/>
      <c r="AF189" s="441"/>
      <c r="AG189" s="441"/>
      <c r="AH189" s="441"/>
      <c r="AI189" s="441"/>
      <c r="AJ189" s="441"/>
      <c r="AK189" s="441"/>
      <c r="AL189" s="441"/>
      <c r="AM189" s="441"/>
    </row>
  </sheetData>
  <mergeCells count="728">
    <mergeCell ref="V182:W183"/>
    <mergeCell ref="X182:AD183"/>
    <mergeCell ref="AE182:AH183"/>
    <mergeCell ref="AI178:AP179"/>
    <mergeCell ref="B180:B181"/>
    <mergeCell ref="J150:P151"/>
    <mergeCell ref="Q150:R151"/>
    <mergeCell ref="V150:W151"/>
    <mergeCell ref="X150:AD151"/>
    <mergeCell ref="J176:P177"/>
    <mergeCell ref="B174:B175"/>
    <mergeCell ref="C174:E175"/>
    <mergeCell ref="F174:I175"/>
    <mergeCell ref="J174:P175"/>
    <mergeCell ref="C163:D163"/>
    <mergeCell ref="E163:N163"/>
    <mergeCell ref="Q163:R163"/>
    <mergeCell ref="S163:AB163"/>
    <mergeCell ref="AG164:AP164"/>
    <mergeCell ref="C165:D165"/>
    <mergeCell ref="E165:N165"/>
    <mergeCell ref="Q165:R165"/>
    <mergeCell ref="S165:AB165"/>
    <mergeCell ref="AE165:AF165"/>
    <mergeCell ref="Q174:R175"/>
    <mergeCell ref="V174:W175"/>
    <mergeCell ref="X174:AD175"/>
    <mergeCell ref="AE174:AH175"/>
    <mergeCell ref="AI174:AP175"/>
    <mergeCell ref="AE163:AF163"/>
    <mergeCell ref="AG163:AP163"/>
    <mergeCell ref="C176:E177"/>
    <mergeCell ref="F176:I177"/>
    <mergeCell ref="AI176:AP177"/>
    <mergeCell ref="AG165:AP165"/>
    <mergeCell ref="C164:D164"/>
    <mergeCell ref="Q170:R171"/>
    <mergeCell ref="V170:W171"/>
    <mergeCell ref="X170:AD171"/>
    <mergeCell ref="C169:E169"/>
    <mergeCell ref="F169:I169"/>
    <mergeCell ref="J169:P169"/>
    <mergeCell ref="Q169:W169"/>
    <mergeCell ref="X169:AD169"/>
    <mergeCell ref="AE169:AH169"/>
    <mergeCell ref="E164:N164"/>
    <mergeCell ref="B178:B179"/>
    <mergeCell ref="C178:E179"/>
    <mergeCell ref="F178:I179"/>
    <mergeCell ref="J178:P179"/>
    <mergeCell ref="Q178:R179"/>
    <mergeCell ref="V178:W179"/>
    <mergeCell ref="X178:AD179"/>
    <mergeCell ref="AE178:AH179"/>
    <mergeCell ref="Q176:R177"/>
    <mergeCell ref="V176:W177"/>
    <mergeCell ref="X176:AD177"/>
    <mergeCell ref="AE176:AH177"/>
    <mergeCell ref="B176:B177"/>
    <mergeCell ref="B146:B147"/>
    <mergeCell ref="C146:E147"/>
    <mergeCell ref="F146:I147"/>
    <mergeCell ref="J146:P147"/>
    <mergeCell ref="Q146:R147"/>
    <mergeCell ref="V146:W147"/>
    <mergeCell ref="X146:AD147"/>
    <mergeCell ref="AI148:AP149"/>
    <mergeCell ref="B150:B151"/>
    <mergeCell ref="C150:E151"/>
    <mergeCell ref="F150:I151"/>
    <mergeCell ref="AI146:AP147"/>
    <mergeCell ref="C142:E143"/>
    <mergeCell ref="F142:I143"/>
    <mergeCell ref="J142:P143"/>
    <mergeCell ref="Q142:R143"/>
    <mergeCell ref="V142:W143"/>
    <mergeCell ref="X142:AD143"/>
    <mergeCell ref="AP159:AQ160"/>
    <mergeCell ref="C161:F161"/>
    <mergeCell ref="AI150:AP151"/>
    <mergeCell ref="AI144:AP145"/>
    <mergeCell ref="B159:AB160"/>
    <mergeCell ref="AC159:AJ160"/>
    <mergeCell ref="AK159:AO160"/>
    <mergeCell ref="AM161:AO161"/>
    <mergeCell ref="D157:I157"/>
    <mergeCell ref="J157:Q157"/>
    <mergeCell ref="R157:Z157"/>
    <mergeCell ref="AA157:AC157"/>
    <mergeCell ref="AD157:AM157"/>
    <mergeCell ref="G161:O161"/>
    <mergeCell ref="P161:S161"/>
    <mergeCell ref="T161:AB161"/>
    <mergeCell ref="AC161:AF161"/>
    <mergeCell ref="AG161:AL161"/>
    <mergeCell ref="J118:P119"/>
    <mergeCell ref="Q118:R119"/>
    <mergeCell ref="AG129:AL129"/>
    <mergeCell ref="AM129:AO129"/>
    <mergeCell ref="C131:D131"/>
    <mergeCell ref="E131:N131"/>
    <mergeCell ref="Q131:R131"/>
    <mergeCell ref="S131:AB131"/>
    <mergeCell ref="AE131:AF131"/>
    <mergeCell ref="AG131:AP131"/>
    <mergeCell ref="AP127:AQ128"/>
    <mergeCell ref="C129:F129"/>
    <mergeCell ref="G129:O129"/>
    <mergeCell ref="P129:S129"/>
    <mergeCell ref="T129:AB129"/>
    <mergeCell ref="AC129:AF129"/>
    <mergeCell ref="AD125:AM125"/>
    <mergeCell ref="D125:I125"/>
    <mergeCell ref="J125:Q125"/>
    <mergeCell ref="R125:Z125"/>
    <mergeCell ref="AA125:AC125"/>
    <mergeCell ref="AD123:AM123"/>
    <mergeCell ref="D124:I124"/>
    <mergeCell ref="J124:Q124"/>
    <mergeCell ref="AI108:AP109"/>
    <mergeCell ref="F110:I111"/>
    <mergeCell ref="J110:P111"/>
    <mergeCell ref="Q110:R111"/>
    <mergeCell ref="AI112:AP113"/>
    <mergeCell ref="F114:I115"/>
    <mergeCell ref="J114:P115"/>
    <mergeCell ref="Q114:R115"/>
    <mergeCell ref="X108:AD109"/>
    <mergeCell ref="AE108:AH109"/>
    <mergeCell ref="X112:AD113"/>
    <mergeCell ref="AE112:AH113"/>
    <mergeCell ref="J112:P113"/>
    <mergeCell ref="F112:I113"/>
    <mergeCell ref="X114:AD115"/>
    <mergeCell ref="AE114:AH115"/>
    <mergeCell ref="AI114:AP115"/>
    <mergeCell ref="B80:B81"/>
    <mergeCell ref="C80:E81"/>
    <mergeCell ref="F80:I81"/>
    <mergeCell ref="J80:P81"/>
    <mergeCell ref="AI110:AP111"/>
    <mergeCell ref="F108:I109"/>
    <mergeCell ref="J108:P109"/>
    <mergeCell ref="Q108:R109"/>
    <mergeCell ref="V108:W109"/>
    <mergeCell ref="B82:B83"/>
    <mergeCell ref="C82:E83"/>
    <mergeCell ref="F82:I83"/>
    <mergeCell ref="J82:P83"/>
    <mergeCell ref="Q82:R83"/>
    <mergeCell ref="V82:W83"/>
    <mergeCell ref="X82:AD83"/>
    <mergeCell ref="AE82:AH83"/>
    <mergeCell ref="AI84:AP85"/>
    <mergeCell ref="AI82:AP83"/>
    <mergeCell ref="X106:AD107"/>
    <mergeCell ref="X110:AD111"/>
    <mergeCell ref="AE110:AH111"/>
    <mergeCell ref="AI106:AP107"/>
    <mergeCell ref="AE106:AH107"/>
    <mergeCell ref="B74:B75"/>
    <mergeCell ref="C74:E75"/>
    <mergeCell ref="F74:I75"/>
    <mergeCell ref="J74:P75"/>
    <mergeCell ref="Q74:R75"/>
    <mergeCell ref="V74:W75"/>
    <mergeCell ref="AI78:AP79"/>
    <mergeCell ref="AE74:AH75"/>
    <mergeCell ref="AI74:AP75"/>
    <mergeCell ref="B76:B77"/>
    <mergeCell ref="C76:E77"/>
    <mergeCell ref="F76:I77"/>
    <mergeCell ref="J76:P77"/>
    <mergeCell ref="Q76:R77"/>
    <mergeCell ref="V76:W77"/>
    <mergeCell ref="X76:AD77"/>
    <mergeCell ref="AI76:AP77"/>
    <mergeCell ref="B78:B79"/>
    <mergeCell ref="C78:E79"/>
    <mergeCell ref="F78:I79"/>
    <mergeCell ref="J78:P79"/>
    <mergeCell ref="Q78:R79"/>
    <mergeCell ref="V78:W79"/>
    <mergeCell ref="X78:AD79"/>
    <mergeCell ref="AD189:AM189"/>
    <mergeCell ref="D189:I189"/>
    <mergeCell ref="J189:Q189"/>
    <mergeCell ref="R189:Z189"/>
    <mergeCell ref="AA189:AC189"/>
    <mergeCell ref="AD187:AM187"/>
    <mergeCell ref="D188:I188"/>
    <mergeCell ref="J188:Q188"/>
    <mergeCell ref="R188:Z188"/>
    <mergeCell ref="AA188:AC188"/>
    <mergeCell ref="R185:Z185"/>
    <mergeCell ref="AA185:AC185"/>
    <mergeCell ref="Q180:R181"/>
    <mergeCell ref="V180:W181"/>
    <mergeCell ref="X180:AD181"/>
    <mergeCell ref="AD188:AM188"/>
    <mergeCell ref="D187:I187"/>
    <mergeCell ref="J187:Q187"/>
    <mergeCell ref="R187:Z187"/>
    <mergeCell ref="AA187:AC187"/>
    <mergeCell ref="D186:I186"/>
    <mergeCell ref="J186:Q186"/>
    <mergeCell ref="R186:Z186"/>
    <mergeCell ref="AA186:AC186"/>
    <mergeCell ref="AD186:AM186"/>
    <mergeCell ref="AI182:AP183"/>
    <mergeCell ref="AD185:AM185"/>
    <mergeCell ref="AI180:AP181"/>
    <mergeCell ref="AE180:AH181"/>
    <mergeCell ref="C180:E181"/>
    <mergeCell ref="F180:I181"/>
    <mergeCell ref="J180:P181"/>
    <mergeCell ref="C182:E183"/>
    <mergeCell ref="F182:I183"/>
    <mergeCell ref="D185:I185"/>
    <mergeCell ref="J185:Q185"/>
    <mergeCell ref="B182:B183"/>
    <mergeCell ref="J182:P183"/>
    <mergeCell ref="Q182:R183"/>
    <mergeCell ref="Q164:R164"/>
    <mergeCell ref="S164:AB164"/>
    <mergeCell ref="AI169:AP169"/>
    <mergeCell ref="AE170:AH171"/>
    <mergeCell ref="B170:B171"/>
    <mergeCell ref="C170:E171"/>
    <mergeCell ref="F170:I171"/>
    <mergeCell ref="J170:P171"/>
    <mergeCell ref="B172:B173"/>
    <mergeCell ref="C172:E173"/>
    <mergeCell ref="F172:I173"/>
    <mergeCell ref="J172:P173"/>
    <mergeCell ref="Q172:R173"/>
    <mergeCell ref="V172:W173"/>
    <mergeCell ref="AE172:AH173"/>
    <mergeCell ref="X172:AD173"/>
    <mergeCell ref="AI172:AP173"/>
    <mergeCell ref="AI170:AP171"/>
    <mergeCell ref="AE164:AF164"/>
    <mergeCell ref="D156:I156"/>
    <mergeCell ref="J156:Q156"/>
    <mergeCell ref="R156:Z156"/>
    <mergeCell ref="AA156:AC156"/>
    <mergeCell ref="D155:I155"/>
    <mergeCell ref="J155:Q155"/>
    <mergeCell ref="R155:Z155"/>
    <mergeCell ref="AA155:AC155"/>
    <mergeCell ref="AD155:AM155"/>
    <mergeCell ref="D154:I154"/>
    <mergeCell ref="J154:Q154"/>
    <mergeCell ref="R154:Z154"/>
    <mergeCell ref="AD156:AM156"/>
    <mergeCell ref="B144:B145"/>
    <mergeCell ref="C144:E145"/>
    <mergeCell ref="F144:I145"/>
    <mergeCell ref="J144:P145"/>
    <mergeCell ref="AA154:AC154"/>
    <mergeCell ref="Q148:R149"/>
    <mergeCell ref="V148:W149"/>
    <mergeCell ref="X148:AD149"/>
    <mergeCell ref="AE148:AH149"/>
    <mergeCell ref="B148:B149"/>
    <mergeCell ref="C148:E149"/>
    <mergeCell ref="F148:I149"/>
    <mergeCell ref="J148:P149"/>
    <mergeCell ref="AE146:AH147"/>
    <mergeCell ref="AE150:AH151"/>
    <mergeCell ref="R153:Z153"/>
    <mergeCell ref="AA153:AC153"/>
    <mergeCell ref="AD153:AM153"/>
    <mergeCell ref="D153:I153"/>
    <mergeCell ref="J153:Q153"/>
    <mergeCell ref="AD154:AM154"/>
    <mergeCell ref="AE133:AF133"/>
    <mergeCell ref="AG133:AP133"/>
    <mergeCell ref="C133:D133"/>
    <mergeCell ref="E133:N133"/>
    <mergeCell ref="Q133:R133"/>
    <mergeCell ref="S133:AB133"/>
    <mergeCell ref="Q144:R145"/>
    <mergeCell ref="V144:W145"/>
    <mergeCell ref="X144:AD145"/>
    <mergeCell ref="AE144:AH145"/>
    <mergeCell ref="V138:W139"/>
    <mergeCell ref="X138:AD139"/>
    <mergeCell ref="C137:E137"/>
    <mergeCell ref="F137:I137"/>
    <mergeCell ref="J137:P137"/>
    <mergeCell ref="Q137:W137"/>
    <mergeCell ref="X140:AD141"/>
    <mergeCell ref="AE140:AH141"/>
    <mergeCell ref="X137:AD137"/>
    <mergeCell ref="AE137:AH137"/>
    <mergeCell ref="AI137:AP137"/>
    <mergeCell ref="AI140:AP141"/>
    <mergeCell ref="AE142:AH143"/>
    <mergeCell ref="AI142:AP143"/>
    <mergeCell ref="C132:D132"/>
    <mergeCell ref="E132:N132"/>
    <mergeCell ref="Q132:R132"/>
    <mergeCell ref="S132:AB132"/>
    <mergeCell ref="AE132:AF132"/>
    <mergeCell ref="AG132:AP132"/>
    <mergeCell ref="B127:AB128"/>
    <mergeCell ref="AC127:AJ128"/>
    <mergeCell ref="AK127:AO128"/>
    <mergeCell ref="AE138:AH139"/>
    <mergeCell ref="AI138:AP139"/>
    <mergeCell ref="B140:B141"/>
    <mergeCell ref="C140:E141"/>
    <mergeCell ref="F140:I141"/>
    <mergeCell ref="J140:P141"/>
    <mergeCell ref="Q140:R141"/>
    <mergeCell ref="V140:W141"/>
    <mergeCell ref="B138:B139"/>
    <mergeCell ref="C138:E139"/>
    <mergeCell ref="F138:I139"/>
    <mergeCell ref="J138:P139"/>
    <mergeCell ref="Q138:R139"/>
    <mergeCell ref="B142:B143"/>
    <mergeCell ref="R124:Z124"/>
    <mergeCell ref="AA124:AC124"/>
    <mergeCell ref="D121:I121"/>
    <mergeCell ref="J121:Q121"/>
    <mergeCell ref="R121:Z121"/>
    <mergeCell ref="AA121:AC121"/>
    <mergeCell ref="AD124:AM124"/>
    <mergeCell ref="D123:I123"/>
    <mergeCell ref="J123:Q123"/>
    <mergeCell ref="R123:Z123"/>
    <mergeCell ref="AA123:AC123"/>
    <mergeCell ref="D122:I122"/>
    <mergeCell ref="J122:Q122"/>
    <mergeCell ref="R122:Z122"/>
    <mergeCell ref="AA122:AC122"/>
    <mergeCell ref="AD122:AM122"/>
    <mergeCell ref="AI118:AP119"/>
    <mergeCell ref="AD121:AM121"/>
    <mergeCell ref="AI116:AP117"/>
    <mergeCell ref="B116:B117"/>
    <mergeCell ref="C116:E117"/>
    <mergeCell ref="F116:I117"/>
    <mergeCell ref="J116:P117"/>
    <mergeCell ref="Q112:R113"/>
    <mergeCell ref="V112:W113"/>
    <mergeCell ref="V114:W115"/>
    <mergeCell ref="B112:B113"/>
    <mergeCell ref="B114:B115"/>
    <mergeCell ref="C114:E115"/>
    <mergeCell ref="Q116:R117"/>
    <mergeCell ref="V116:W117"/>
    <mergeCell ref="C112:E113"/>
    <mergeCell ref="AE116:AH117"/>
    <mergeCell ref="X116:AD117"/>
    <mergeCell ref="V118:W119"/>
    <mergeCell ref="X118:AD119"/>
    <mergeCell ref="AE118:AH119"/>
    <mergeCell ref="B118:B119"/>
    <mergeCell ref="C118:E119"/>
    <mergeCell ref="F118:I119"/>
    <mergeCell ref="Q106:R107"/>
    <mergeCell ref="V106:W107"/>
    <mergeCell ref="V110:W111"/>
    <mergeCell ref="B110:B111"/>
    <mergeCell ref="C110:E111"/>
    <mergeCell ref="B106:B107"/>
    <mergeCell ref="C106:E107"/>
    <mergeCell ref="F106:I107"/>
    <mergeCell ref="J106:P107"/>
    <mergeCell ref="B108:B109"/>
    <mergeCell ref="C108:E109"/>
    <mergeCell ref="C105:E105"/>
    <mergeCell ref="F105:I105"/>
    <mergeCell ref="J105:P105"/>
    <mergeCell ref="Q105:W105"/>
    <mergeCell ref="X105:AD105"/>
    <mergeCell ref="AE105:AH105"/>
    <mergeCell ref="AI105:AP105"/>
    <mergeCell ref="E100:N100"/>
    <mergeCell ref="Q100:R100"/>
    <mergeCell ref="S100:AB100"/>
    <mergeCell ref="AE100:AF100"/>
    <mergeCell ref="AG100:AP100"/>
    <mergeCell ref="C101:D101"/>
    <mergeCell ref="E101:N101"/>
    <mergeCell ref="Q101:R101"/>
    <mergeCell ref="S101:AB101"/>
    <mergeCell ref="AE101:AF101"/>
    <mergeCell ref="AG101:AP101"/>
    <mergeCell ref="C100:D100"/>
    <mergeCell ref="AP95:AQ96"/>
    <mergeCell ref="C97:F97"/>
    <mergeCell ref="G97:O97"/>
    <mergeCell ref="P97:S97"/>
    <mergeCell ref="T97:AB97"/>
    <mergeCell ref="AC97:AF97"/>
    <mergeCell ref="AG97:AL97"/>
    <mergeCell ref="E99:N99"/>
    <mergeCell ref="Q99:R99"/>
    <mergeCell ref="S99:AB99"/>
    <mergeCell ref="B95:AB96"/>
    <mergeCell ref="AC95:AJ96"/>
    <mergeCell ref="AK95:AO96"/>
    <mergeCell ref="AE99:AF99"/>
    <mergeCell ref="AG99:AP99"/>
    <mergeCell ref="C99:D99"/>
    <mergeCell ref="AM97:AO97"/>
    <mergeCell ref="AD92:AM92"/>
    <mergeCell ref="D93:I93"/>
    <mergeCell ref="J93:Q93"/>
    <mergeCell ref="R93:Z93"/>
    <mergeCell ref="AA93:AC93"/>
    <mergeCell ref="AD93:AM93"/>
    <mergeCell ref="D92:I92"/>
    <mergeCell ref="J92:Q92"/>
    <mergeCell ref="R92:Z92"/>
    <mergeCell ref="AA92:AC92"/>
    <mergeCell ref="AD90:AM90"/>
    <mergeCell ref="D91:I91"/>
    <mergeCell ref="J91:Q91"/>
    <mergeCell ref="R91:Z91"/>
    <mergeCell ref="AA91:AC91"/>
    <mergeCell ref="AD91:AM91"/>
    <mergeCell ref="D90:I90"/>
    <mergeCell ref="J90:Q90"/>
    <mergeCell ref="R90:Z90"/>
    <mergeCell ref="AA90:AC90"/>
    <mergeCell ref="Q84:R85"/>
    <mergeCell ref="V84:W85"/>
    <mergeCell ref="X84:AD85"/>
    <mergeCell ref="AE84:AH85"/>
    <mergeCell ref="B84:B85"/>
    <mergeCell ref="C84:E85"/>
    <mergeCell ref="F84:I85"/>
    <mergeCell ref="J84:P85"/>
    <mergeCell ref="AA89:AC89"/>
    <mergeCell ref="AD89:AM89"/>
    <mergeCell ref="D89:I89"/>
    <mergeCell ref="J89:Q89"/>
    <mergeCell ref="R89:Z89"/>
    <mergeCell ref="AI86:AP87"/>
    <mergeCell ref="B86:B87"/>
    <mergeCell ref="C86:E87"/>
    <mergeCell ref="F86:I87"/>
    <mergeCell ref="J86:P87"/>
    <mergeCell ref="Q86:R87"/>
    <mergeCell ref="V86:W87"/>
    <mergeCell ref="X86:AD87"/>
    <mergeCell ref="AE86:AH87"/>
    <mergeCell ref="AE69:AF69"/>
    <mergeCell ref="AG69:AP69"/>
    <mergeCell ref="C69:D69"/>
    <mergeCell ref="E69:N69"/>
    <mergeCell ref="Q69:R69"/>
    <mergeCell ref="S69:AB69"/>
    <mergeCell ref="Q80:R81"/>
    <mergeCell ref="V80:W81"/>
    <mergeCell ref="X80:AD81"/>
    <mergeCell ref="AE80:AH81"/>
    <mergeCell ref="X74:AD75"/>
    <mergeCell ref="C73:E73"/>
    <mergeCell ref="F73:I73"/>
    <mergeCell ref="J73:P73"/>
    <mergeCell ref="Q73:W73"/>
    <mergeCell ref="AE76:AH77"/>
    <mergeCell ref="X73:AD73"/>
    <mergeCell ref="AE73:AH73"/>
    <mergeCell ref="AI73:AP73"/>
    <mergeCell ref="AE78:AH79"/>
    <mergeCell ref="AI80:AP81"/>
    <mergeCell ref="B63:AB64"/>
    <mergeCell ref="AC63:AJ64"/>
    <mergeCell ref="AK63:AO64"/>
    <mergeCell ref="AP63:AQ64"/>
    <mergeCell ref="C65:F65"/>
    <mergeCell ref="G65:O65"/>
    <mergeCell ref="C68:D68"/>
    <mergeCell ref="E68:N68"/>
    <mergeCell ref="Q68:R68"/>
    <mergeCell ref="S68:AB68"/>
    <mergeCell ref="AE68:AF68"/>
    <mergeCell ref="AG68:AP68"/>
    <mergeCell ref="AE67:AF67"/>
    <mergeCell ref="AG67:AP67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C5:D5"/>
    <mergeCell ref="E5:N5"/>
    <mergeCell ref="Q5:R5"/>
    <mergeCell ref="S5:AB5"/>
    <mergeCell ref="AE5:AF5"/>
    <mergeCell ref="AG5:AP5"/>
    <mergeCell ref="C6:D6"/>
    <mergeCell ref="E6:N6"/>
    <mergeCell ref="A1:AQ2"/>
    <mergeCell ref="C3:F3"/>
    <mergeCell ref="G3:O3"/>
    <mergeCell ref="P3:S3"/>
    <mergeCell ref="T3:AB3"/>
    <mergeCell ref="AC3:AF3"/>
    <mergeCell ref="AG3:AL3"/>
    <mergeCell ref="AM3:AO3"/>
    <mergeCell ref="Q6:R6"/>
    <mergeCell ref="S6:AB6"/>
    <mergeCell ref="X11:AD11"/>
    <mergeCell ref="AE11:AH11"/>
    <mergeCell ref="C7:D7"/>
    <mergeCell ref="E7:N7"/>
    <mergeCell ref="Q7:R7"/>
    <mergeCell ref="S7:AB7"/>
    <mergeCell ref="AE7:AF7"/>
    <mergeCell ref="AG7:AP7"/>
    <mergeCell ref="AE6:AF6"/>
    <mergeCell ref="AG6:AP6"/>
    <mergeCell ref="C11:E11"/>
    <mergeCell ref="F11:I11"/>
    <mergeCell ref="J11:P11"/>
    <mergeCell ref="Q11:W11"/>
    <mergeCell ref="AI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AE18:AH19"/>
    <mergeCell ref="AI18:AP19"/>
    <mergeCell ref="AE16:AH17"/>
    <mergeCell ref="AI16:AP17"/>
    <mergeCell ref="B14:B15"/>
    <mergeCell ref="C14:E15"/>
    <mergeCell ref="F14:I15"/>
    <mergeCell ref="J14:P15"/>
    <mergeCell ref="Q14:R15"/>
    <mergeCell ref="V14:W15"/>
    <mergeCell ref="Q16:R17"/>
    <mergeCell ref="V16:W17"/>
    <mergeCell ref="X16:AD17"/>
    <mergeCell ref="X14:AD15"/>
    <mergeCell ref="AE14:AH15"/>
    <mergeCell ref="AI14:AP15"/>
    <mergeCell ref="B16:B17"/>
    <mergeCell ref="C16:E17"/>
    <mergeCell ref="F16:I17"/>
    <mergeCell ref="J16:P17"/>
    <mergeCell ref="B18:B19"/>
    <mergeCell ref="C18:E19"/>
    <mergeCell ref="F18:I19"/>
    <mergeCell ref="J18:P19"/>
    <mergeCell ref="Q18:R19"/>
    <mergeCell ref="V18:W19"/>
    <mergeCell ref="X18:AD19"/>
    <mergeCell ref="B20:B21"/>
    <mergeCell ref="C20:E21"/>
    <mergeCell ref="F20:I21"/>
    <mergeCell ref="J20:P21"/>
    <mergeCell ref="Q20:R21"/>
    <mergeCell ref="V20:W21"/>
    <mergeCell ref="B22:B23"/>
    <mergeCell ref="C22:E23"/>
    <mergeCell ref="X20:AD21"/>
    <mergeCell ref="F22:I23"/>
    <mergeCell ref="J22:P23"/>
    <mergeCell ref="X22:AD23"/>
    <mergeCell ref="AE22:AH23"/>
    <mergeCell ref="AI22:AP23"/>
    <mergeCell ref="B24:B25"/>
    <mergeCell ref="C24:E25"/>
    <mergeCell ref="F24:I25"/>
    <mergeCell ref="J24:P25"/>
    <mergeCell ref="Q24:R25"/>
    <mergeCell ref="Q22:R23"/>
    <mergeCell ref="V22:W23"/>
    <mergeCell ref="V24:W25"/>
    <mergeCell ref="X24:AD25"/>
    <mergeCell ref="AE24:AH25"/>
    <mergeCell ref="AI24:AP25"/>
    <mergeCell ref="AE20:AH21"/>
    <mergeCell ref="AI20:AP21"/>
    <mergeCell ref="D27:I27"/>
    <mergeCell ref="J27:Q27"/>
    <mergeCell ref="R27:Z27"/>
    <mergeCell ref="AA27:AC27"/>
    <mergeCell ref="AD27:AM27"/>
    <mergeCell ref="AD28:AM28"/>
    <mergeCell ref="D29:I29"/>
    <mergeCell ref="J29:Q29"/>
    <mergeCell ref="R29:Z29"/>
    <mergeCell ref="AA29:AC29"/>
    <mergeCell ref="AD29:AM29"/>
    <mergeCell ref="D28:I28"/>
    <mergeCell ref="J28:Q28"/>
    <mergeCell ref="R28:Z28"/>
    <mergeCell ref="AA28:AC28"/>
    <mergeCell ref="D30:I30"/>
    <mergeCell ref="J30:Q30"/>
    <mergeCell ref="R30:Z30"/>
    <mergeCell ref="AA30:AC30"/>
    <mergeCell ref="AD30:AM30"/>
    <mergeCell ref="A31:AQ32"/>
    <mergeCell ref="G34:O34"/>
    <mergeCell ref="P34:S34"/>
    <mergeCell ref="T34:AB34"/>
    <mergeCell ref="AC34:AF34"/>
    <mergeCell ref="AE37:AF37"/>
    <mergeCell ref="C38:D38"/>
    <mergeCell ref="E38:N38"/>
    <mergeCell ref="Q38:R38"/>
    <mergeCell ref="S38:AB38"/>
    <mergeCell ref="AE38:AF38"/>
    <mergeCell ref="AG37:AP37"/>
    <mergeCell ref="AM34:AO34"/>
    <mergeCell ref="C36:D36"/>
    <mergeCell ref="E36:N36"/>
    <mergeCell ref="Q36:R36"/>
    <mergeCell ref="S36:AB36"/>
    <mergeCell ref="AE36:AF36"/>
    <mergeCell ref="AG36:AP36"/>
    <mergeCell ref="AG34:AL34"/>
    <mergeCell ref="C34:F34"/>
    <mergeCell ref="C37:D37"/>
    <mergeCell ref="E37:N37"/>
    <mergeCell ref="Q37:R37"/>
    <mergeCell ref="S37:AB37"/>
    <mergeCell ref="AG38:AP38"/>
    <mergeCell ref="X42:AD42"/>
    <mergeCell ref="Q42:W42"/>
    <mergeCell ref="B47:B48"/>
    <mergeCell ref="AI42:AP42"/>
    <mergeCell ref="B43:B44"/>
    <mergeCell ref="C43:E44"/>
    <mergeCell ref="F43:I44"/>
    <mergeCell ref="J43:P44"/>
    <mergeCell ref="Q43:R44"/>
    <mergeCell ref="V43:W44"/>
    <mergeCell ref="X43:AD44"/>
    <mergeCell ref="AE43:AH44"/>
    <mergeCell ref="AI43:AP44"/>
    <mergeCell ref="AE42:AH42"/>
    <mergeCell ref="C47:E48"/>
    <mergeCell ref="F47:I48"/>
    <mergeCell ref="J47:P48"/>
    <mergeCell ref="C42:E42"/>
    <mergeCell ref="F42:I42"/>
    <mergeCell ref="J42:P42"/>
    <mergeCell ref="B45:B46"/>
    <mergeCell ref="C45:E46"/>
    <mergeCell ref="F45:I46"/>
    <mergeCell ref="J45:P46"/>
    <mergeCell ref="AE49:AH50"/>
    <mergeCell ref="AI49:AP50"/>
    <mergeCell ref="X45:AD46"/>
    <mergeCell ref="AE45:AH46"/>
    <mergeCell ref="AI45:AP46"/>
    <mergeCell ref="AE47:AH48"/>
    <mergeCell ref="AI47:AP48"/>
    <mergeCell ref="Q47:R48"/>
    <mergeCell ref="V47:W48"/>
    <mergeCell ref="X47:AD48"/>
    <mergeCell ref="Q45:R46"/>
    <mergeCell ref="V45:W46"/>
    <mergeCell ref="B49:B50"/>
    <mergeCell ref="C49:E50"/>
    <mergeCell ref="F49:I50"/>
    <mergeCell ref="J49:P50"/>
    <mergeCell ref="Q49:R50"/>
    <mergeCell ref="V49:W50"/>
    <mergeCell ref="X49:AD50"/>
    <mergeCell ref="B51:B52"/>
    <mergeCell ref="C51:E52"/>
    <mergeCell ref="F51:I52"/>
    <mergeCell ref="J51:P52"/>
    <mergeCell ref="Q51:R52"/>
    <mergeCell ref="V51:W52"/>
    <mergeCell ref="B53:B54"/>
    <mergeCell ref="C53:E54"/>
    <mergeCell ref="X51:AD52"/>
    <mergeCell ref="F53:I54"/>
    <mergeCell ref="J53:P54"/>
    <mergeCell ref="X53:AD54"/>
    <mergeCell ref="AE53:AH54"/>
    <mergeCell ref="AI53:AP54"/>
    <mergeCell ref="B55:B56"/>
    <mergeCell ref="C55:E56"/>
    <mergeCell ref="F55:I56"/>
    <mergeCell ref="J55:P56"/>
    <mergeCell ref="Q55:R56"/>
    <mergeCell ref="Q53:R54"/>
    <mergeCell ref="V53:W54"/>
    <mergeCell ref="V55:W56"/>
    <mergeCell ref="X55:AD56"/>
    <mergeCell ref="AE51:AH52"/>
    <mergeCell ref="AI51:AP52"/>
    <mergeCell ref="AD60:AM60"/>
    <mergeCell ref="AE55:AH56"/>
    <mergeCell ref="AI55:AP56"/>
    <mergeCell ref="D58:I58"/>
    <mergeCell ref="J58:Q58"/>
    <mergeCell ref="R58:Z58"/>
    <mergeCell ref="AA58:AC58"/>
    <mergeCell ref="AD58:AM58"/>
    <mergeCell ref="D61:I61"/>
    <mergeCell ref="J61:Q61"/>
    <mergeCell ref="R61:Z61"/>
    <mergeCell ref="AA61:AC61"/>
    <mergeCell ref="AD61:AM61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</mergeCells>
  <phoneticPr fontId="16"/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0" pageOrder="overThenDown" orientation="landscape" horizontalDpi="300" verticalDpi="300" r:id="rId1"/>
  <rowBreaks count="5" manualBreakCount="5">
    <brk id="30" max="46" man="1"/>
    <brk id="62" max="46" man="1"/>
    <brk id="94" max="46" man="1"/>
    <brk id="126" max="46" man="1"/>
    <brk id="158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824A-A013-4C7F-9136-C112CBF09088}">
  <sheetPr>
    <tabColor rgb="FFFF0000"/>
  </sheetPr>
  <dimension ref="A1:AV40"/>
  <sheetViews>
    <sheetView zoomScale="90" zoomScaleNormal="90" zoomScaleSheetLayoutView="80" workbookViewId="0">
      <selection activeCell="E1" sqref="E1"/>
    </sheetView>
  </sheetViews>
  <sheetFormatPr defaultColWidth="8.625" defaultRowHeight="17.25" x14ac:dyDescent="0.4"/>
  <cols>
    <col min="1" max="1" width="3.25" style="159" customWidth="1"/>
    <col min="2" max="2" width="10.875" style="160" customWidth="1"/>
    <col min="3" max="3" width="3.125" style="162" customWidth="1"/>
    <col min="4" max="4" width="3.25" style="162" customWidth="1"/>
    <col min="5" max="5" width="2.5" style="162" customWidth="1"/>
    <col min="6" max="6" width="3.25" style="162" customWidth="1"/>
    <col min="7" max="7" width="3.125" style="162" customWidth="1"/>
    <col min="8" max="8" width="3.25" style="162" customWidth="1"/>
    <col min="9" max="9" width="2.5" style="162" customWidth="1"/>
    <col min="10" max="10" width="3.25" style="162" customWidth="1"/>
    <col min="11" max="11" width="3" style="162" customWidth="1"/>
    <col min="12" max="12" width="3.25" style="162" customWidth="1"/>
    <col min="13" max="13" width="2.5" style="162" customWidth="1"/>
    <col min="14" max="14" width="3.25" style="162" customWidth="1"/>
    <col min="15" max="15" width="3.125" style="162" customWidth="1"/>
    <col min="16" max="16" width="3.5" style="162" customWidth="1"/>
    <col min="17" max="17" width="2.5" style="162" customWidth="1"/>
    <col min="18" max="18" width="3.25" style="162" customWidth="1"/>
    <col min="19" max="19" width="3.125" style="162" customWidth="1"/>
    <col min="20" max="20" width="3.625" style="162" customWidth="1"/>
    <col min="21" max="21" width="2.5" style="162" customWidth="1"/>
    <col min="22" max="22" width="3.5" style="162" customWidth="1"/>
    <col min="23" max="23" width="3.125" style="162" customWidth="1"/>
    <col min="24" max="24" width="3.875" style="162" customWidth="1"/>
    <col min="25" max="25" width="2.5" style="162" customWidth="1"/>
    <col min="26" max="26" width="3.625" style="162" customWidth="1"/>
    <col min="27" max="27" width="3.125" style="162" customWidth="1"/>
    <col min="28" max="28" width="3.5" style="162" customWidth="1"/>
    <col min="29" max="29" width="2.5" style="162" customWidth="1"/>
    <col min="30" max="32" width="3.5" style="162" customWidth="1"/>
    <col min="33" max="33" width="2.5" style="162" customWidth="1"/>
    <col min="34" max="34" width="3.625" style="162" customWidth="1"/>
    <col min="35" max="35" width="6.125" style="162" customWidth="1"/>
    <col min="36" max="36" width="6.5" style="162" customWidth="1"/>
    <col min="37" max="37" width="6.125" style="162" customWidth="1"/>
    <col min="38" max="38" width="5.875" style="162" customWidth="1"/>
    <col min="39" max="40" width="6.375" style="162" customWidth="1"/>
    <col min="41" max="41" width="6.75" style="162" customWidth="1"/>
    <col min="42" max="42" width="10.625" style="162" customWidth="1"/>
    <col min="43" max="43" width="9.875" style="162" hidden="1" customWidth="1"/>
    <col min="44" max="44" width="10.75" style="270" customWidth="1"/>
    <col min="45" max="45" width="10.25" style="162" hidden="1" customWidth="1"/>
    <col min="46" max="46" width="9" style="162" hidden="1" customWidth="1"/>
    <col min="47" max="48" width="8.625" style="162" hidden="1" customWidth="1"/>
    <col min="49" max="16384" width="8.625" style="162"/>
  </cols>
  <sheetData>
    <row r="1" spans="1:48" ht="27.75" customHeight="1" x14ac:dyDescent="0.4">
      <c r="C1" s="161"/>
      <c r="E1" s="163" t="s">
        <v>224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</row>
    <row r="2" spans="1:48" ht="15" customHeight="1" thickBot="1" x14ac:dyDescent="0.45">
      <c r="B2" s="164"/>
      <c r="C2" s="161"/>
      <c r="G2" s="161"/>
    </row>
    <row r="3" spans="1:48" s="160" customFormat="1" ht="20.25" customHeight="1" thickBot="1" x14ac:dyDescent="0.45">
      <c r="A3" s="165"/>
      <c r="B3" s="238" t="s">
        <v>202</v>
      </c>
      <c r="C3" s="520" t="str">
        <f>B4</f>
        <v>富士見SSS</v>
      </c>
      <c r="D3" s="520"/>
      <c r="E3" s="520"/>
      <c r="F3" s="527"/>
      <c r="G3" s="519" t="str">
        <f>B5</f>
        <v>unionscU10</v>
      </c>
      <c r="H3" s="520"/>
      <c r="I3" s="520"/>
      <c r="J3" s="527"/>
      <c r="K3" s="519" t="str">
        <f>B6</f>
        <v>ISOSC</v>
      </c>
      <c r="L3" s="520"/>
      <c r="M3" s="520"/>
      <c r="N3" s="527"/>
      <c r="O3" s="519" t="str">
        <f>B7</f>
        <v>清原シザース</v>
      </c>
      <c r="P3" s="520"/>
      <c r="Q3" s="520"/>
      <c r="R3" s="527"/>
      <c r="S3" s="528" t="str">
        <f>B8</f>
        <v>サウス宇都宮SC</v>
      </c>
      <c r="T3" s="529"/>
      <c r="U3" s="529"/>
      <c r="V3" s="518"/>
      <c r="W3" s="519" t="str">
        <f>B9</f>
        <v>ともぞうSC U10</v>
      </c>
      <c r="X3" s="520"/>
      <c r="Y3" s="520"/>
      <c r="Z3" s="529"/>
      <c r="AA3" s="517" t="str">
        <f>B10</f>
        <v>上河内JSC</v>
      </c>
      <c r="AB3" s="517"/>
      <c r="AC3" s="517"/>
      <c r="AD3" s="518"/>
      <c r="AE3" s="519" t="str">
        <f>B11</f>
        <v>FC グランディール</v>
      </c>
      <c r="AF3" s="520"/>
      <c r="AG3" s="520"/>
      <c r="AH3" s="521"/>
      <c r="AI3" s="166" t="s">
        <v>15</v>
      </c>
      <c r="AJ3" s="167" t="s">
        <v>203</v>
      </c>
      <c r="AK3" s="167" t="s">
        <v>204</v>
      </c>
      <c r="AL3" s="167" t="s">
        <v>205</v>
      </c>
      <c r="AM3" s="168" t="s">
        <v>206</v>
      </c>
      <c r="AN3" s="169" t="s">
        <v>207</v>
      </c>
      <c r="AO3" s="170" t="s">
        <v>208</v>
      </c>
      <c r="AP3" s="171" t="s">
        <v>219</v>
      </c>
      <c r="AR3" s="271" t="s">
        <v>255</v>
      </c>
      <c r="AS3" s="160" t="s">
        <v>220</v>
      </c>
      <c r="AT3" s="160" t="s">
        <v>221</v>
      </c>
      <c r="AU3" s="160" t="s">
        <v>222</v>
      </c>
      <c r="AV3" s="160" t="s">
        <v>254</v>
      </c>
    </row>
    <row r="4" spans="1:48" ht="25.5" customHeight="1" thickTop="1" x14ac:dyDescent="0.4">
      <c r="A4" s="172">
        <v>1</v>
      </c>
      <c r="B4" s="237" t="str">
        <f>VLOOKUP(A4,U10組合せ!B$10:I$17,3,TRUE)</f>
        <v>富士見SSS</v>
      </c>
      <c r="C4" s="522"/>
      <c r="D4" s="522"/>
      <c r="E4" s="522"/>
      <c r="F4" s="523"/>
      <c r="G4" s="173" t="str">
        <f>IF(H4="","",(IF(H4-J4&gt;0,"○",IF(H4-J4&lt;0,"●","△"))))</f>
        <v>●</v>
      </c>
      <c r="H4" s="174">
        <f>IF(Ａブロック対戦表!Q12="","",Ａブロック対戦表!Q12)</f>
        <v>0</v>
      </c>
      <c r="I4" s="175" t="s">
        <v>209</v>
      </c>
      <c r="J4" s="176">
        <f>IF(Ａブロック対戦表!V12="","",Ａブロック対戦表!V12)</f>
        <v>12</v>
      </c>
      <c r="K4" s="177" t="str">
        <f>IF(L4="","",(IF(L4-N4&gt;0,"○",IF(L4-N4&lt;0,"●","△"))))</f>
        <v>●</v>
      </c>
      <c r="L4" s="178">
        <f>IF(Ａブロック対戦表!$Q74="","",Ａブロック対戦表!$Q74)</f>
        <v>0</v>
      </c>
      <c r="M4" s="175" t="s">
        <v>18</v>
      </c>
      <c r="N4" s="179">
        <f>IF(Ａブロック対戦表!$V74="","",Ａブロック対戦表!$V74)</f>
        <v>14</v>
      </c>
      <c r="O4" s="177" t="str">
        <f>IF(P4="","",(IF(P4-R4&gt;0,"○",IF(P4-R4&lt;0,"●","△"))))</f>
        <v>●</v>
      </c>
      <c r="P4" s="180">
        <f>IF(Ａブロック対戦表!$Q16="","",Ａブロック対戦表!$Q16)</f>
        <v>0</v>
      </c>
      <c r="Q4" s="175" t="s">
        <v>18</v>
      </c>
      <c r="R4" s="181">
        <f>IF(Ａブロック対戦表!$V16="","",Ａブロック対戦表!$V16)</f>
        <v>13</v>
      </c>
      <c r="S4" s="173" t="str">
        <f>IF(T4="","",(IF(T4-V4&gt;0,"○",IF(T4-V4&lt;0,"●","△"))))</f>
        <v>●</v>
      </c>
      <c r="T4" s="180">
        <f>IF(Ａブロック対戦表!$V78="","",Ａブロック対戦表!$V78)</f>
        <v>1</v>
      </c>
      <c r="U4" s="175" t="s">
        <v>18</v>
      </c>
      <c r="V4" s="181">
        <f>IF(Ａブロック対戦表!$Q78="","",Ａブロック対戦表!$Q78)</f>
        <v>5</v>
      </c>
      <c r="W4" s="173" t="str">
        <f>IF(X4="","",(IF(X4-Z4&gt;0,"○",IF(X4-Z4&lt;0,"●","△"))))</f>
        <v/>
      </c>
      <c r="X4" s="179" t="str">
        <f>IF(Ａブロック対戦表!$Q198="","",Ａブロック対戦表!$Q198)</f>
        <v/>
      </c>
      <c r="Y4" s="175" t="s">
        <v>18</v>
      </c>
      <c r="Z4" s="179" t="str">
        <f>IF(Ａブロック対戦表!$V198="","",Ａブロック対戦表!$V198)</f>
        <v/>
      </c>
      <c r="AA4" s="173" t="str">
        <f t="shared" ref="AA4:AA9" si="0">IF(AB4="","",(IF(AB4-AD4&gt;0,"○",IF(AB4-AD4&lt;0,"●","△"))))</f>
        <v>●</v>
      </c>
      <c r="AB4" s="180">
        <f>IF(Ａブロック対戦表!$Q136="","",Ａブロック対戦表!$Q136)</f>
        <v>0</v>
      </c>
      <c r="AC4" s="175" t="s">
        <v>18</v>
      </c>
      <c r="AD4" s="181">
        <f>IF(Ａブロック対戦表!$V136="","",Ａブロック対戦表!$V136)</f>
        <v>10</v>
      </c>
      <c r="AE4" s="173" t="str">
        <f t="shared" ref="AE4:AE10" si="1">IF(AF4="","",(IF(AF4-AH4&gt;0,"○",IF(AF4-AH4&lt;0,"●","△"))))</f>
        <v>●</v>
      </c>
      <c r="AF4" s="179">
        <f>IF(Ａブロック対戦表!$Q142="","",Ａブロック対戦表!$Q142)</f>
        <v>0</v>
      </c>
      <c r="AG4" s="175" t="s">
        <v>18</v>
      </c>
      <c r="AH4" s="182">
        <f>IF(Ａブロック対戦表!$V142="","",Ａブロック対戦表!$V142)</f>
        <v>3</v>
      </c>
      <c r="AI4" s="183">
        <f t="shared" ref="AI4:AI11" si="2">SUM(AK4:AM4)</f>
        <v>6</v>
      </c>
      <c r="AJ4" s="184">
        <f t="shared" ref="AJ4:AJ11" si="3">AK4*3+AM4</f>
        <v>0</v>
      </c>
      <c r="AK4" s="184">
        <f t="shared" ref="AK4:AK11" si="4">COUNTIF(C4:AH4,"○")</f>
        <v>0</v>
      </c>
      <c r="AL4" s="184">
        <f t="shared" ref="AL4:AL11" si="5">COUNTIF(C4:AH4,"●")</f>
        <v>6</v>
      </c>
      <c r="AM4" s="185">
        <f t="shared" ref="AM4:AM11" si="6">COUNTIF(C4:AH4,"△")</f>
        <v>0</v>
      </c>
      <c r="AN4" s="186">
        <f>AO4-SUM(F4,J4,N4,R4,V4,Z4,AD4,AH4,)</f>
        <v>-56</v>
      </c>
      <c r="AO4" s="187">
        <f>SUM(D4,H4,L4,P4,T4,X4,AB4,AF4,)</f>
        <v>1</v>
      </c>
      <c r="AP4" s="188">
        <f>RANK(AQ4,AQ$4:AQ$11)</f>
        <v>8</v>
      </c>
      <c r="AQ4" s="189">
        <f t="shared" ref="AQ4:AQ11" si="7">AJ4*10000+AN4*100+AO4</f>
        <v>-5599</v>
      </c>
      <c r="AR4" s="272">
        <f>RANK(AV4,AV$4:AV$34)</f>
        <v>21</v>
      </c>
      <c r="AS4" s="269">
        <f>AJ4/$AI4</f>
        <v>0</v>
      </c>
      <c r="AT4" s="235">
        <f>AN4/$AI4</f>
        <v>-9.3333333333333339</v>
      </c>
      <c r="AU4" s="235">
        <f>AO4/$AI4</f>
        <v>0.16666666666666666</v>
      </c>
      <c r="AV4" s="189">
        <f>AS4*10000+AT4*100+AU4</f>
        <v>-933.16666666666674</v>
      </c>
    </row>
    <row r="5" spans="1:48" ht="25.5" customHeight="1" x14ac:dyDescent="0.4">
      <c r="A5" s="190">
        <v>2</v>
      </c>
      <c r="B5" s="226" t="str">
        <f>VLOOKUP(A5,U10組合せ!B$10:I$17,3,TRUE)</f>
        <v>unionscU10</v>
      </c>
      <c r="C5" s="191" t="str">
        <f t="shared" ref="C5:C11" si="8">IF(D5="","",(IF(D5-F5&gt;0,"○",IF(D5-F5&lt;0,"●","△"))))</f>
        <v>○</v>
      </c>
      <c r="D5" s="192">
        <f>IF(J4="","",J4)</f>
        <v>12</v>
      </c>
      <c r="E5" s="193" t="s">
        <v>209</v>
      </c>
      <c r="F5" s="194">
        <f>IF(H4="","",H4)</f>
        <v>0</v>
      </c>
      <c r="G5" s="524"/>
      <c r="H5" s="525"/>
      <c r="I5" s="525"/>
      <c r="J5" s="526"/>
      <c r="K5" s="173" t="str">
        <f>IF(L5="","",(IF(L5-N5&gt;0,"○",IF(L5-N5&lt;0,"●","△"))))</f>
        <v>○</v>
      </c>
      <c r="L5" s="174">
        <f>IF(Ａブロック対戦表!$V18="","",Ａブロック対戦表!$V18)</f>
        <v>3</v>
      </c>
      <c r="M5" s="195" t="s">
        <v>18</v>
      </c>
      <c r="N5" s="176">
        <f>IF(Ａブロック対戦表!$Q18="","",Ａブロック対戦表!$Q18)</f>
        <v>0</v>
      </c>
      <c r="O5" s="196" t="str">
        <f>IF(P5="","",(IF(P5-R5&gt;0,"○",IF(P5-R5&lt;0,"●","△"))))</f>
        <v>○</v>
      </c>
      <c r="P5" s="197">
        <f>IF(Ａブロック対戦表!$Q105="","",Ａブロック対戦表!$Q105)</f>
        <v>5</v>
      </c>
      <c r="Q5" s="195" t="s">
        <v>18</v>
      </c>
      <c r="R5" s="198">
        <f>IF(Ａブロック対戦表!$V105="","",Ａブロック対戦表!$V105)</f>
        <v>0</v>
      </c>
      <c r="S5" s="173" t="str">
        <f>IF(T5="","",(IF(T5-V5&gt;0,"○",IF(T5-V5&lt;0,"●","△"))))</f>
        <v/>
      </c>
      <c r="T5" s="199" t="str">
        <f>IF(Ａブロック対戦表!$Q200="","",Ａブロック対戦表!$Q200)</f>
        <v/>
      </c>
      <c r="U5" s="200" t="s">
        <v>18</v>
      </c>
      <c r="V5" s="201" t="str">
        <f>IF(Ａブロック対戦表!$V200="","",Ａブロック対戦表!$V200)</f>
        <v/>
      </c>
      <c r="W5" s="173" t="str">
        <f>IF(X5="","",(IF(X5-Z5&gt;0,"○",IF(X5-Z5&lt;0,"●","△"))))</f>
        <v>○</v>
      </c>
      <c r="X5" s="202">
        <f>IF(Ａブロック対戦表!$V109="","",Ａブロック対戦表!$V109)</f>
        <v>4</v>
      </c>
      <c r="Y5" s="200" t="s">
        <v>18</v>
      </c>
      <c r="Z5" s="202">
        <f>IF(Ａブロック対戦表!$Q109="","",Ａブロック対戦表!$Q109)</f>
        <v>1</v>
      </c>
      <c r="AA5" s="173" t="str">
        <f t="shared" si="0"/>
        <v>○</v>
      </c>
      <c r="AB5" s="202">
        <f>IF(Ａブロック対戦表!$V140="","",Ａブロック対戦表!$V140)</f>
        <v>4</v>
      </c>
      <c r="AC5" s="200" t="s">
        <v>18</v>
      </c>
      <c r="AD5" s="202">
        <f>IF(Ａブロック対戦表!$Q140="","",Ａブロック対戦表!$Q140)</f>
        <v>1</v>
      </c>
      <c r="AE5" s="203" t="str">
        <f t="shared" si="1"/>
        <v>△</v>
      </c>
      <c r="AF5" s="204">
        <f>IF(Ａブロック対戦表!$V138="","",Ａブロック対戦表!$V138)</f>
        <v>0</v>
      </c>
      <c r="AG5" s="205" t="s">
        <v>18</v>
      </c>
      <c r="AH5" s="228">
        <f>IF(Ａブロック対戦表!$Q138="","",Ａブロック対戦表!$Q138)</f>
        <v>0</v>
      </c>
      <c r="AI5" s="183">
        <f t="shared" si="2"/>
        <v>6</v>
      </c>
      <c r="AJ5" s="184">
        <f t="shared" si="3"/>
        <v>16</v>
      </c>
      <c r="AK5" s="184">
        <f t="shared" si="4"/>
        <v>5</v>
      </c>
      <c r="AL5" s="184">
        <f t="shared" si="5"/>
        <v>0</v>
      </c>
      <c r="AM5" s="185">
        <f t="shared" si="6"/>
        <v>1</v>
      </c>
      <c r="AN5" s="186">
        <f t="shared" ref="AN5:AN10" si="9">AO5-SUM(F5,J5,N5,R5,V5,Z5,AD5,AH5,)</f>
        <v>26</v>
      </c>
      <c r="AO5" s="187">
        <f t="shared" ref="AO5:AO11" si="10">SUM(D5,H5,L5,P5,T5,X5,AB5,AF5,)</f>
        <v>28</v>
      </c>
      <c r="AP5" s="188">
        <f t="shared" ref="AP5:AP11" si="11">RANK(AQ5,AQ$4:AQ$11)</f>
        <v>1</v>
      </c>
      <c r="AQ5" s="189">
        <f t="shared" si="7"/>
        <v>162628</v>
      </c>
      <c r="AR5" s="272">
        <f t="shared" ref="AR5:AR34" si="12">RANK(AV5,AV$4:AV$34)</f>
        <v>3</v>
      </c>
      <c r="AS5" s="269">
        <f t="shared" ref="AS5:AS11" si="13">AJ5/$AI5</f>
        <v>2.6666666666666665</v>
      </c>
      <c r="AT5" s="235">
        <f t="shared" ref="AT5:AT11" si="14">AN5/$AI5</f>
        <v>4.333333333333333</v>
      </c>
      <c r="AU5" s="235">
        <f t="shared" ref="AU5:AU11" si="15">AO5/$AI5</f>
        <v>4.666666666666667</v>
      </c>
      <c r="AV5" s="189">
        <f t="shared" ref="AV5:AV11" si="16">AS5*10000+AT5*100+AU5</f>
        <v>27104.666666666664</v>
      </c>
    </row>
    <row r="6" spans="1:48" ht="25.5" customHeight="1" x14ac:dyDescent="0.4">
      <c r="A6" s="190">
        <v>3</v>
      </c>
      <c r="B6" s="226" t="str">
        <f>VLOOKUP(A6,U10組合せ!B$10:I$17,3,TRUE)</f>
        <v>ISOSC</v>
      </c>
      <c r="C6" s="191" t="str">
        <f t="shared" si="8"/>
        <v>○</v>
      </c>
      <c r="D6" s="208">
        <f>IF(N4="","",N4)</f>
        <v>14</v>
      </c>
      <c r="E6" s="209" t="s">
        <v>209</v>
      </c>
      <c r="F6" s="210">
        <f>IF(L4="","",L4)</f>
        <v>0</v>
      </c>
      <c r="G6" s="173" t="str">
        <f t="shared" ref="G6:G11" si="17">IF(H6="","",(IF(H6-J6&gt;0,"○",IF(H6-J6&lt;0,"●","△"))))</f>
        <v>●</v>
      </c>
      <c r="H6" s="192">
        <f>IF(N5="","",N5)</f>
        <v>0</v>
      </c>
      <c r="I6" s="193" t="s">
        <v>209</v>
      </c>
      <c r="J6" s="194">
        <f>IF(L5="","",L5)</f>
        <v>3</v>
      </c>
      <c r="K6" s="530"/>
      <c r="L6" s="531"/>
      <c r="M6" s="531"/>
      <c r="N6" s="531"/>
      <c r="O6" s="173" t="str">
        <f>IF(P6="","",(IF(P6-R6&gt;0,"○",IF(P6-R6&lt;0,"●","△"))))</f>
        <v>○</v>
      </c>
      <c r="P6" s="174">
        <f>IF(Ａブロック対戦表!$Q14="","",Ａブロック対戦表!$Q14)</f>
        <v>3</v>
      </c>
      <c r="Q6" s="195" t="s">
        <v>18</v>
      </c>
      <c r="R6" s="174">
        <f>IF(Ａブロック対戦表!$V14="","",Ａブロック対戦表!$V14)</f>
        <v>1</v>
      </c>
      <c r="S6" s="173" t="str">
        <f>IF(T6="","",(IF(T6-V6&gt;0,"○",IF(T6-V6&lt;0,"●","△"))))</f>
        <v>○</v>
      </c>
      <c r="T6" s="206">
        <f>IF(Ａブロック対戦表!$Q167="","",Ａブロック対戦表!$Q167)</f>
        <v>10</v>
      </c>
      <c r="U6" s="195" t="s">
        <v>18</v>
      </c>
      <c r="V6" s="206">
        <f>IF(Ａブロック対戦表!$V167="","",Ａブロック対戦表!$V167)</f>
        <v>0</v>
      </c>
      <c r="W6" s="173" t="str">
        <f>IF(X6="","",(IF(X6-Z6&gt;0,"○",IF(X6-Z6&lt;0,"●","△"))))</f>
        <v>○</v>
      </c>
      <c r="X6" s="176">
        <f>IF(Ａブロック対戦表!$Q173="","",Ａブロック対戦表!$Q173)</f>
        <v>2</v>
      </c>
      <c r="Y6" s="195" t="s">
        <v>18</v>
      </c>
      <c r="Z6" s="176">
        <f>IF(Ａブロック対戦表!$V173="","",Ａブロック対戦表!$V173)</f>
        <v>0</v>
      </c>
      <c r="AA6" s="173" t="str">
        <f t="shared" si="0"/>
        <v/>
      </c>
      <c r="AB6" s="206" t="str">
        <f>IF(Ａブロック対戦表!$Q229="","",Ａブロック対戦表!$Q229)</f>
        <v/>
      </c>
      <c r="AC6" s="195" t="s">
        <v>18</v>
      </c>
      <c r="AD6" s="206" t="str">
        <f>IF(Ａブロック対戦表!$V229="","",Ａブロック対戦表!$V229)</f>
        <v/>
      </c>
      <c r="AE6" s="211" t="str">
        <f t="shared" si="1"/>
        <v>●</v>
      </c>
      <c r="AF6" s="202">
        <f>IF(Ａブロック対戦表!$Q80="","",Ａブロック対戦表!$Q80)</f>
        <v>0</v>
      </c>
      <c r="AG6" s="200" t="s">
        <v>18</v>
      </c>
      <c r="AH6" s="214">
        <f>IF(Ａブロック対戦表!$V80="","",Ａブロック対戦表!$V80)</f>
        <v>1</v>
      </c>
      <c r="AI6" s="183">
        <f t="shared" si="2"/>
        <v>6</v>
      </c>
      <c r="AJ6" s="184">
        <f t="shared" si="3"/>
        <v>12</v>
      </c>
      <c r="AK6" s="184">
        <f t="shared" si="4"/>
        <v>4</v>
      </c>
      <c r="AL6" s="184">
        <f t="shared" si="5"/>
        <v>2</v>
      </c>
      <c r="AM6" s="185">
        <f t="shared" si="6"/>
        <v>0</v>
      </c>
      <c r="AN6" s="186">
        <f t="shared" si="9"/>
        <v>24</v>
      </c>
      <c r="AO6" s="187">
        <f t="shared" si="10"/>
        <v>29</v>
      </c>
      <c r="AP6" s="188">
        <f t="shared" si="11"/>
        <v>2</v>
      </c>
      <c r="AQ6" s="189">
        <f t="shared" si="7"/>
        <v>122429</v>
      </c>
      <c r="AR6" s="272">
        <f t="shared" si="12"/>
        <v>6</v>
      </c>
      <c r="AS6" s="269">
        <f t="shared" si="13"/>
        <v>2</v>
      </c>
      <c r="AT6" s="235">
        <f t="shared" si="14"/>
        <v>4</v>
      </c>
      <c r="AU6" s="235">
        <f t="shared" si="15"/>
        <v>4.833333333333333</v>
      </c>
      <c r="AV6" s="189">
        <f t="shared" si="16"/>
        <v>20404.833333333332</v>
      </c>
    </row>
    <row r="7" spans="1:48" ht="25.5" customHeight="1" x14ac:dyDescent="0.4">
      <c r="A7" s="190">
        <v>4</v>
      </c>
      <c r="B7" s="226" t="str">
        <f>VLOOKUP(A7,U10組合せ!B$10:I$17,3,TRUE)</f>
        <v>清原シザース</v>
      </c>
      <c r="C7" s="191" t="str">
        <f t="shared" si="8"/>
        <v>○</v>
      </c>
      <c r="D7" s="208">
        <f>IF(R4="","",R4)</f>
        <v>13</v>
      </c>
      <c r="E7" s="209" t="s">
        <v>209</v>
      </c>
      <c r="F7" s="210">
        <f>IF(P4="","",P4)</f>
        <v>0</v>
      </c>
      <c r="G7" s="173" t="str">
        <f t="shared" si="17"/>
        <v>●</v>
      </c>
      <c r="H7" s="208">
        <f>IF(R5="","",R5)</f>
        <v>0</v>
      </c>
      <c r="I7" s="209" t="s">
        <v>209</v>
      </c>
      <c r="J7" s="210">
        <f>IF(P5="","",P5)</f>
        <v>5</v>
      </c>
      <c r="K7" s="173" t="str">
        <f t="shared" ref="K7:K11" si="18">IF(L7="","",(IF(L7-N7&gt;0,"○",IF(L7-N7&lt;0,"●","△"))))</f>
        <v>●</v>
      </c>
      <c r="L7" s="212">
        <f>IF(R6="","",R6)</f>
        <v>1</v>
      </c>
      <c r="M7" s="200" t="s">
        <v>209</v>
      </c>
      <c r="N7" s="213">
        <f>IF(P6="","",P6)</f>
        <v>3</v>
      </c>
      <c r="O7" s="531"/>
      <c r="P7" s="531"/>
      <c r="Q7" s="531"/>
      <c r="R7" s="532"/>
      <c r="S7" s="173" t="str">
        <f>IF(T7="","",(IF(T7-V7&gt;0,"○",IF(T7-V7&lt;0,"●","△"))))</f>
        <v>●</v>
      </c>
      <c r="T7" s="176">
        <f>IF(Ａブロック対戦表!$Q171="","",Ａブロック対戦表!$Q171)</f>
        <v>0</v>
      </c>
      <c r="U7" s="195" t="s">
        <v>18</v>
      </c>
      <c r="V7" s="176">
        <f>IF(Ａブロック対戦表!$V171="","",Ａブロック対戦表!$V171)</f>
        <v>3</v>
      </c>
      <c r="W7" s="173" t="str">
        <f>IF(X7="","",(IF(X7-Z7&gt;0,"○",IF(X7-Z7&lt;0,"●","△"))))</f>
        <v>●</v>
      </c>
      <c r="X7" s="199">
        <f>IF(Ａブロック対戦表!$Q169="","",Ａブロック対戦表!$Q169)</f>
        <v>0</v>
      </c>
      <c r="Y7" s="200" t="s">
        <v>18</v>
      </c>
      <c r="Z7" s="201">
        <f>IF(Ａブロック対戦表!$V169="","",Ａブロック対戦表!$V169)</f>
        <v>3</v>
      </c>
      <c r="AA7" s="173" t="str">
        <f t="shared" si="0"/>
        <v>○</v>
      </c>
      <c r="AB7" s="199">
        <f>IF(Ａブロック対戦表!$Q111="","",Ａブロック対戦表!$Q111)</f>
        <v>4</v>
      </c>
      <c r="AC7" s="200" t="s">
        <v>18</v>
      </c>
      <c r="AD7" s="201">
        <f>IF(Ａブロック対戦表!$V111="","",Ａブロック対戦表!$V111)</f>
        <v>1</v>
      </c>
      <c r="AE7" s="173" t="str">
        <f t="shared" si="1"/>
        <v/>
      </c>
      <c r="AF7" s="176" t="str">
        <f>IF(Ａブロック対戦表!$Q231="","",Ａブロック対戦表!$Q231)</f>
        <v/>
      </c>
      <c r="AG7" s="195" t="s">
        <v>18</v>
      </c>
      <c r="AH7" s="229" t="str">
        <f>IF(Ａブロック対戦表!$V231="","",Ａブロック対戦表!$V231)</f>
        <v/>
      </c>
      <c r="AI7" s="183">
        <f t="shared" si="2"/>
        <v>6</v>
      </c>
      <c r="AJ7" s="184">
        <f t="shared" si="3"/>
        <v>6</v>
      </c>
      <c r="AK7" s="184">
        <f t="shared" si="4"/>
        <v>2</v>
      </c>
      <c r="AL7" s="184">
        <f t="shared" si="5"/>
        <v>4</v>
      </c>
      <c r="AM7" s="185">
        <f t="shared" si="6"/>
        <v>0</v>
      </c>
      <c r="AN7" s="186">
        <f t="shared" si="9"/>
        <v>3</v>
      </c>
      <c r="AO7" s="187">
        <f t="shared" si="10"/>
        <v>18</v>
      </c>
      <c r="AP7" s="188">
        <f t="shared" si="11"/>
        <v>6</v>
      </c>
      <c r="AQ7" s="189">
        <f t="shared" si="7"/>
        <v>60318</v>
      </c>
      <c r="AR7" s="272">
        <f t="shared" si="12"/>
        <v>16</v>
      </c>
      <c r="AS7" s="269">
        <f t="shared" si="13"/>
        <v>1</v>
      </c>
      <c r="AT7" s="235">
        <f t="shared" si="14"/>
        <v>0.5</v>
      </c>
      <c r="AU7" s="235">
        <f t="shared" si="15"/>
        <v>3</v>
      </c>
      <c r="AV7" s="189">
        <f t="shared" si="16"/>
        <v>10053</v>
      </c>
    </row>
    <row r="8" spans="1:48" ht="25.5" customHeight="1" x14ac:dyDescent="0.4">
      <c r="A8" s="190">
        <v>5</v>
      </c>
      <c r="B8" s="226" t="str">
        <f>VLOOKUP(A8,U10組合せ!B$10:I$17,3,TRUE)</f>
        <v>サウス宇都宮SC</v>
      </c>
      <c r="C8" s="191" t="str">
        <f t="shared" si="8"/>
        <v>○</v>
      </c>
      <c r="D8" s="208">
        <f>IF(V4="","",V4)</f>
        <v>5</v>
      </c>
      <c r="E8" s="209" t="s">
        <v>209</v>
      </c>
      <c r="F8" s="210">
        <f>IF(T4="","",T4)</f>
        <v>1</v>
      </c>
      <c r="G8" s="173" t="str">
        <f t="shared" si="17"/>
        <v/>
      </c>
      <c r="H8" s="208" t="str">
        <f>IF(V5="","",V5)</f>
        <v/>
      </c>
      <c r="I8" s="209" t="s">
        <v>209</v>
      </c>
      <c r="J8" s="210" t="str">
        <f>IF(T5="","",T5)</f>
        <v/>
      </c>
      <c r="K8" s="173" t="str">
        <f t="shared" si="18"/>
        <v>●</v>
      </c>
      <c r="L8" s="212">
        <f>IF(V6="","",V6)</f>
        <v>0</v>
      </c>
      <c r="M8" s="200" t="s">
        <v>209</v>
      </c>
      <c r="N8" s="212">
        <f>IF(T6="","",T6)</f>
        <v>10</v>
      </c>
      <c r="O8" s="173" t="str">
        <f t="shared" ref="O8:O11" si="19">IF(P8="","",(IF(P8-R8&gt;0,"○",IF(P8-R8&lt;0,"●","△"))))</f>
        <v>○</v>
      </c>
      <c r="P8" s="212">
        <f>IF(V7="","",V7)</f>
        <v>3</v>
      </c>
      <c r="Q8" s="200" t="s">
        <v>209</v>
      </c>
      <c r="R8" s="213">
        <f>IF(T7="","",T7)</f>
        <v>0</v>
      </c>
      <c r="S8" s="530"/>
      <c r="T8" s="531"/>
      <c r="U8" s="531"/>
      <c r="V8" s="532"/>
      <c r="W8" s="173" t="str">
        <f>IF(X8="","",(IF(X8-Z8&gt;0,"○",IF(X8-Z8&lt;0,"●","△"))))</f>
        <v>△</v>
      </c>
      <c r="X8" s="199">
        <f>IF(Ａブロック対戦表!$Q43="","",Ａブロック対戦表!$Q43)</f>
        <v>0</v>
      </c>
      <c r="Y8" s="200" t="s">
        <v>18</v>
      </c>
      <c r="Z8" s="201">
        <f>IF(Ａブロック対戦表!$V43="","",Ａブロック対戦表!$V43)</f>
        <v>0</v>
      </c>
      <c r="AA8" s="173" t="str">
        <f t="shared" si="0"/>
        <v>●</v>
      </c>
      <c r="AB8" s="206">
        <f>IF(Ａブロック対戦表!$V47="","",Ａブロック対戦表!$V47)</f>
        <v>0</v>
      </c>
      <c r="AC8" s="195" t="s">
        <v>18</v>
      </c>
      <c r="AD8" s="206">
        <f>IF(Ａブロック対戦表!$Q47="","",Ａブロック対戦表!$Q47)</f>
        <v>8</v>
      </c>
      <c r="AE8" s="173" t="str">
        <f t="shared" si="1"/>
        <v>●</v>
      </c>
      <c r="AF8" s="199">
        <f>IF(Ａブロック対戦表!$Q76="","",Ａブロック対戦表!$Q76)</f>
        <v>0</v>
      </c>
      <c r="AG8" s="200" t="s">
        <v>18</v>
      </c>
      <c r="AH8" s="214">
        <f>IF(Ａブロック対戦表!$V76="","",Ａブロック対戦表!$V76)</f>
        <v>1</v>
      </c>
      <c r="AI8" s="183">
        <f t="shared" si="2"/>
        <v>6</v>
      </c>
      <c r="AJ8" s="184">
        <f t="shared" si="3"/>
        <v>7</v>
      </c>
      <c r="AK8" s="184">
        <f t="shared" si="4"/>
        <v>2</v>
      </c>
      <c r="AL8" s="184">
        <f t="shared" si="5"/>
        <v>3</v>
      </c>
      <c r="AM8" s="185">
        <f t="shared" si="6"/>
        <v>1</v>
      </c>
      <c r="AN8" s="186">
        <f t="shared" si="9"/>
        <v>-12</v>
      </c>
      <c r="AO8" s="187">
        <f t="shared" si="10"/>
        <v>8</v>
      </c>
      <c r="AP8" s="188">
        <f t="shared" si="11"/>
        <v>5</v>
      </c>
      <c r="AQ8" s="189">
        <f t="shared" si="7"/>
        <v>68808</v>
      </c>
      <c r="AR8" s="272">
        <f t="shared" si="12"/>
        <v>15</v>
      </c>
      <c r="AS8" s="269">
        <f t="shared" si="13"/>
        <v>1.1666666666666667</v>
      </c>
      <c r="AT8" s="235">
        <f t="shared" si="14"/>
        <v>-2</v>
      </c>
      <c r="AU8" s="235">
        <f t="shared" si="15"/>
        <v>1.3333333333333333</v>
      </c>
      <c r="AV8" s="189">
        <f t="shared" si="16"/>
        <v>11468.000000000002</v>
      </c>
    </row>
    <row r="9" spans="1:48" ht="25.5" customHeight="1" x14ac:dyDescent="0.4">
      <c r="A9" s="190">
        <v>6</v>
      </c>
      <c r="B9" s="226" t="str">
        <f>VLOOKUP(A9,U10組合せ!B$10:I$17,3,TRUE)</f>
        <v>ともぞうSC U10</v>
      </c>
      <c r="C9" s="191" t="str">
        <f t="shared" si="8"/>
        <v/>
      </c>
      <c r="D9" s="208" t="str">
        <f>IF(Z4="","",Z4)</f>
        <v/>
      </c>
      <c r="E9" s="209" t="s">
        <v>209</v>
      </c>
      <c r="F9" s="210" t="str">
        <f>IF(X4="","",X4)</f>
        <v/>
      </c>
      <c r="G9" s="173" t="str">
        <f t="shared" si="17"/>
        <v>●</v>
      </c>
      <c r="H9" s="208">
        <f>IF(Z5="","",Z5)</f>
        <v>1</v>
      </c>
      <c r="I9" s="209" t="s">
        <v>209</v>
      </c>
      <c r="J9" s="210">
        <f>IF(X5="","",X5)</f>
        <v>4</v>
      </c>
      <c r="K9" s="173" t="str">
        <f t="shared" si="18"/>
        <v>●</v>
      </c>
      <c r="L9" s="212">
        <f>IF(Z6="","",Z6)</f>
        <v>0</v>
      </c>
      <c r="M9" s="200" t="s">
        <v>209</v>
      </c>
      <c r="N9" s="212">
        <f>IF(X6="","",X6)</f>
        <v>2</v>
      </c>
      <c r="O9" s="173" t="str">
        <f t="shared" si="19"/>
        <v>○</v>
      </c>
      <c r="P9" s="212">
        <f>IF(Z7="","",Z7)</f>
        <v>3</v>
      </c>
      <c r="Q9" s="200" t="s">
        <v>209</v>
      </c>
      <c r="R9" s="213">
        <f>IF(X7="","",X7)</f>
        <v>0</v>
      </c>
      <c r="S9" s="173" t="str">
        <f>IF(T9="","",(IF(T9-V9&gt;0,"○",IF(T9-V9&lt;0,"●","△"))))</f>
        <v>△</v>
      </c>
      <c r="T9" s="212">
        <f>IF(Z8="","",Z8)</f>
        <v>0</v>
      </c>
      <c r="U9" s="200" t="s">
        <v>209</v>
      </c>
      <c r="V9" s="213">
        <f>IF(X8="","",X8)</f>
        <v>0</v>
      </c>
      <c r="W9" s="530"/>
      <c r="X9" s="531"/>
      <c r="Y9" s="531"/>
      <c r="Z9" s="532"/>
      <c r="AA9" s="173" t="str">
        <f t="shared" si="0"/>
        <v>△</v>
      </c>
      <c r="AB9" s="202">
        <f>IF(Ａブロック対戦表!$Q107="","",Ａブロック対戦表!$Q107)</f>
        <v>3</v>
      </c>
      <c r="AC9" s="200" t="s">
        <v>18</v>
      </c>
      <c r="AD9" s="202">
        <f>IF(Ａブロック対戦表!$V107="","",Ａブロック対戦表!$V107)</f>
        <v>3</v>
      </c>
      <c r="AE9" s="173" t="str">
        <f t="shared" si="1"/>
        <v>△</v>
      </c>
      <c r="AF9" s="206">
        <f>IF(Ａブロック対戦表!$V49="","",Ａブロック対戦表!$V49)</f>
        <v>1</v>
      </c>
      <c r="AG9" s="195" t="s">
        <v>18</v>
      </c>
      <c r="AH9" s="207">
        <f>IF(Ａブロック対戦表!$Q49="","",Ａブロック対戦表!$Q49)</f>
        <v>1</v>
      </c>
      <c r="AI9" s="183">
        <f t="shared" si="2"/>
        <v>6</v>
      </c>
      <c r="AJ9" s="184">
        <f t="shared" si="3"/>
        <v>6</v>
      </c>
      <c r="AK9" s="184">
        <f t="shared" si="4"/>
        <v>1</v>
      </c>
      <c r="AL9" s="184">
        <f t="shared" si="5"/>
        <v>2</v>
      </c>
      <c r="AM9" s="185">
        <f t="shared" si="6"/>
        <v>3</v>
      </c>
      <c r="AN9" s="186">
        <f>AO9-SUM(F9,J9,N9,R9,V9,Z9,AD9,AH9,)</f>
        <v>-2</v>
      </c>
      <c r="AO9" s="187">
        <f t="shared" si="10"/>
        <v>8</v>
      </c>
      <c r="AP9" s="188">
        <f t="shared" si="11"/>
        <v>7</v>
      </c>
      <c r="AQ9" s="189">
        <f t="shared" si="7"/>
        <v>59808</v>
      </c>
      <c r="AR9" s="272">
        <f t="shared" si="12"/>
        <v>17</v>
      </c>
      <c r="AS9" s="269">
        <f t="shared" si="13"/>
        <v>1</v>
      </c>
      <c r="AT9" s="235">
        <f t="shared" si="14"/>
        <v>-0.33333333333333331</v>
      </c>
      <c r="AU9" s="235">
        <f t="shared" si="15"/>
        <v>1.3333333333333333</v>
      </c>
      <c r="AV9" s="189">
        <f t="shared" si="16"/>
        <v>9968</v>
      </c>
    </row>
    <row r="10" spans="1:48" ht="25.5" customHeight="1" x14ac:dyDescent="0.4">
      <c r="A10" s="190">
        <v>7</v>
      </c>
      <c r="B10" s="226" t="str">
        <f>VLOOKUP(A10,U10組合せ!B$10:I$17,3,TRUE)</f>
        <v>上河内JSC</v>
      </c>
      <c r="C10" s="191" t="str">
        <f t="shared" si="8"/>
        <v>○</v>
      </c>
      <c r="D10" s="208">
        <f>IF(AD4="","",AD4)</f>
        <v>10</v>
      </c>
      <c r="E10" s="209" t="s">
        <v>209</v>
      </c>
      <c r="F10" s="210">
        <f>IF(AB4="","",AB4)</f>
        <v>0</v>
      </c>
      <c r="G10" s="173" t="str">
        <f t="shared" si="17"/>
        <v>●</v>
      </c>
      <c r="H10" s="208">
        <f>IF(AD5="","",AD5)</f>
        <v>1</v>
      </c>
      <c r="I10" s="209" t="s">
        <v>209</v>
      </c>
      <c r="J10" s="210">
        <f>IF(AB5="","",AB5)</f>
        <v>4</v>
      </c>
      <c r="K10" s="173" t="str">
        <f t="shared" si="18"/>
        <v/>
      </c>
      <c r="L10" s="212" t="str">
        <f>IF(AD6="","",AD6)</f>
        <v/>
      </c>
      <c r="M10" s="200" t="s">
        <v>209</v>
      </c>
      <c r="N10" s="212" t="str">
        <f>IF(AB6="","",AB6)</f>
        <v/>
      </c>
      <c r="O10" s="173" t="str">
        <f t="shared" si="19"/>
        <v>●</v>
      </c>
      <c r="P10" s="212">
        <f>IF(AD7="","",AD7)</f>
        <v>1</v>
      </c>
      <c r="Q10" s="200" t="s">
        <v>209</v>
      </c>
      <c r="R10" s="213">
        <f>IF(AB7="","",AB7)</f>
        <v>4</v>
      </c>
      <c r="S10" s="173" t="str">
        <f>IF(T10="","",(IF(T10-V10&gt;0,"○",IF(T10-V10&lt;0,"●","△"))))</f>
        <v>○</v>
      </c>
      <c r="T10" s="212">
        <f>IF(AD8="","",AD8)</f>
        <v>8</v>
      </c>
      <c r="U10" s="200" t="s">
        <v>209</v>
      </c>
      <c r="V10" s="213">
        <f>IF(AB8="","",AB8)</f>
        <v>0</v>
      </c>
      <c r="W10" s="173" t="str">
        <f>IF(X10="","",(IF(X10-Z10&gt;0,"○",IF(X10-Z10&lt;0,"●","△"))))</f>
        <v>△</v>
      </c>
      <c r="X10" s="212">
        <f>IF(AD9="","",AD9)</f>
        <v>3</v>
      </c>
      <c r="Y10" s="200" t="s">
        <v>209</v>
      </c>
      <c r="Z10" s="213">
        <f>IF(AB9="","",AB9)</f>
        <v>3</v>
      </c>
      <c r="AA10" s="530"/>
      <c r="AB10" s="531"/>
      <c r="AC10" s="531"/>
      <c r="AD10" s="532"/>
      <c r="AE10" s="173" t="str">
        <f t="shared" si="1"/>
        <v>△</v>
      </c>
      <c r="AF10" s="176">
        <f>IF(Ａブロック対戦表!$Q45="","",Ａブロック対戦表!$Q45)</f>
        <v>3</v>
      </c>
      <c r="AG10" s="195" t="s">
        <v>18</v>
      </c>
      <c r="AH10" s="229">
        <f>IF(Ａブロック対戦表!$V45="","",Ａブロック対戦表!$V45)</f>
        <v>3</v>
      </c>
      <c r="AI10" s="183">
        <f t="shared" si="2"/>
        <v>6</v>
      </c>
      <c r="AJ10" s="184">
        <f t="shared" si="3"/>
        <v>8</v>
      </c>
      <c r="AK10" s="184">
        <f t="shared" si="4"/>
        <v>2</v>
      </c>
      <c r="AL10" s="184">
        <f t="shared" si="5"/>
        <v>2</v>
      </c>
      <c r="AM10" s="185">
        <f t="shared" si="6"/>
        <v>2</v>
      </c>
      <c r="AN10" s="186">
        <f t="shared" si="9"/>
        <v>12</v>
      </c>
      <c r="AO10" s="187">
        <f t="shared" si="10"/>
        <v>26</v>
      </c>
      <c r="AP10" s="188">
        <f t="shared" si="11"/>
        <v>4</v>
      </c>
      <c r="AQ10" s="189">
        <f t="shared" si="7"/>
        <v>81226</v>
      </c>
      <c r="AR10" s="272">
        <f t="shared" si="12"/>
        <v>11</v>
      </c>
      <c r="AS10" s="269">
        <f t="shared" si="13"/>
        <v>1.3333333333333333</v>
      </c>
      <c r="AT10" s="235">
        <f t="shared" si="14"/>
        <v>2</v>
      </c>
      <c r="AU10" s="235">
        <f t="shared" si="15"/>
        <v>4.333333333333333</v>
      </c>
      <c r="AV10" s="189">
        <f t="shared" si="16"/>
        <v>13537.666666666666</v>
      </c>
    </row>
    <row r="11" spans="1:48" ht="25.5" customHeight="1" x14ac:dyDescent="0.4">
      <c r="A11" s="190">
        <v>8</v>
      </c>
      <c r="B11" s="226" t="str">
        <f>VLOOKUP(A11,U10組合せ!B$10:I$17,3,TRUE)</f>
        <v>FC グランディール</v>
      </c>
      <c r="C11" s="191" t="str">
        <f t="shared" si="8"/>
        <v>○</v>
      </c>
      <c r="D11" s="208">
        <f>IF(AH4="","",AH4)</f>
        <v>3</v>
      </c>
      <c r="E11" s="209" t="s">
        <v>209</v>
      </c>
      <c r="F11" s="210">
        <f>IF(AF4="","",AF4)</f>
        <v>0</v>
      </c>
      <c r="G11" s="173" t="str">
        <f t="shared" si="17"/>
        <v>△</v>
      </c>
      <c r="H11" s="208">
        <f>IF(AH5="","",AH5)</f>
        <v>0</v>
      </c>
      <c r="I11" s="209" t="s">
        <v>209</v>
      </c>
      <c r="J11" s="210">
        <f>IF(AF5="","",AF5)</f>
        <v>0</v>
      </c>
      <c r="K11" s="173" t="str">
        <f t="shared" si="18"/>
        <v>○</v>
      </c>
      <c r="L11" s="212">
        <f>IF(AH6="","",AH6)</f>
        <v>1</v>
      </c>
      <c r="M11" s="200" t="s">
        <v>209</v>
      </c>
      <c r="N11" s="212">
        <f>IF(AF6="","",AF6)</f>
        <v>0</v>
      </c>
      <c r="O11" s="173" t="str">
        <f t="shared" si="19"/>
        <v/>
      </c>
      <c r="P11" s="212" t="str">
        <f>IF(AH7="","",AH7)</f>
        <v/>
      </c>
      <c r="Q11" s="200" t="s">
        <v>209</v>
      </c>
      <c r="R11" s="213" t="str">
        <f>IF(AF7="","",AF7)</f>
        <v/>
      </c>
      <c r="S11" s="173" t="str">
        <f>IF(T11="","",(IF(T11-V11&gt;0,"○",IF(T11-V11&lt;0,"●","△"))))</f>
        <v>○</v>
      </c>
      <c r="T11" s="212">
        <f>IF(AH8="","",AH8)</f>
        <v>1</v>
      </c>
      <c r="U11" s="200" t="s">
        <v>209</v>
      </c>
      <c r="V11" s="213">
        <f>IF(AF8="","",AF8)</f>
        <v>0</v>
      </c>
      <c r="W11" s="173" t="str">
        <f>IF(X11="","",(IF(X11-Z11&gt;0,"○",IF(X11-Z11&lt;0,"●","△"))))</f>
        <v>△</v>
      </c>
      <c r="X11" s="212">
        <f>IF(AH9="","",AH9)</f>
        <v>1</v>
      </c>
      <c r="Y11" s="200" t="s">
        <v>209</v>
      </c>
      <c r="Z11" s="213">
        <f>IF(AF9="","",AF9)</f>
        <v>1</v>
      </c>
      <c r="AA11" s="173" t="str">
        <f>IF(AB11="","",(IF(AB11-AD11&gt;0,"○",IF(AB11-AD11&lt;0,"●","△"))))</f>
        <v>△</v>
      </c>
      <c r="AB11" s="212">
        <f>IF(AH10="","",AH10)</f>
        <v>3</v>
      </c>
      <c r="AC11" s="200" t="s">
        <v>209</v>
      </c>
      <c r="AD11" s="213">
        <f>IF(AF10="","",AF10)</f>
        <v>3</v>
      </c>
      <c r="AE11" s="530"/>
      <c r="AF11" s="531"/>
      <c r="AG11" s="531"/>
      <c r="AH11" s="533"/>
      <c r="AI11" s="183">
        <f t="shared" si="2"/>
        <v>6</v>
      </c>
      <c r="AJ11" s="184">
        <f t="shared" si="3"/>
        <v>12</v>
      </c>
      <c r="AK11" s="184">
        <f t="shared" si="4"/>
        <v>3</v>
      </c>
      <c r="AL11" s="184">
        <f t="shared" si="5"/>
        <v>0</v>
      </c>
      <c r="AM11" s="185">
        <f t="shared" si="6"/>
        <v>3</v>
      </c>
      <c r="AN11" s="186">
        <f t="shared" ref="AN11" si="20">AO11-SUM(J11,N11,R11,V11,Z11,AD11,AH11,)</f>
        <v>5</v>
      </c>
      <c r="AO11" s="187">
        <f t="shared" si="10"/>
        <v>9</v>
      </c>
      <c r="AP11" s="188">
        <f t="shared" si="11"/>
        <v>3</v>
      </c>
      <c r="AQ11" s="189">
        <f t="shared" si="7"/>
        <v>120509</v>
      </c>
      <c r="AR11" s="272">
        <f t="shared" si="12"/>
        <v>7</v>
      </c>
      <c r="AS11" s="269">
        <f t="shared" si="13"/>
        <v>2</v>
      </c>
      <c r="AT11" s="235">
        <f t="shared" si="14"/>
        <v>0.83333333333333337</v>
      </c>
      <c r="AU11" s="235">
        <f t="shared" si="15"/>
        <v>1.5</v>
      </c>
      <c r="AV11" s="189">
        <f t="shared" si="16"/>
        <v>20084.833333333332</v>
      </c>
    </row>
    <row r="12" spans="1:48" ht="25.5" customHeight="1" x14ac:dyDescent="0.4">
      <c r="A12" s="215"/>
      <c r="B12" s="216"/>
      <c r="C12" s="217"/>
      <c r="D12" s="218"/>
      <c r="E12" s="217"/>
      <c r="F12" s="218"/>
      <c r="G12" s="217"/>
      <c r="H12" s="218"/>
      <c r="I12" s="217"/>
      <c r="J12" s="218"/>
      <c r="K12" s="217"/>
      <c r="L12" s="218"/>
      <c r="M12" s="217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7"/>
      <c r="AF12" s="218"/>
      <c r="AG12" s="217"/>
      <c r="AH12" s="218"/>
      <c r="AI12" s="220"/>
      <c r="AJ12" s="220"/>
      <c r="AK12" s="220"/>
      <c r="AL12" s="220"/>
      <c r="AM12" s="220"/>
      <c r="AN12" s="221"/>
      <c r="AO12" s="221"/>
      <c r="AP12" s="222"/>
      <c r="AQ12" s="189"/>
    </row>
    <row r="13" spans="1:48" ht="25.5" customHeight="1" x14ac:dyDescent="0.4">
      <c r="C13" s="161"/>
      <c r="E13" s="163" t="s">
        <v>223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Q13" s="189"/>
    </row>
    <row r="14" spans="1:48" ht="6" customHeight="1" thickBot="1" x14ac:dyDescent="0.45">
      <c r="B14" s="164"/>
      <c r="C14" s="161"/>
      <c r="G14" s="161"/>
      <c r="AQ14" s="189"/>
    </row>
    <row r="15" spans="1:48" ht="25.5" customHeight="1" thickBot="1" x14ac:dyDescent="0.45">
      <c r="A15" s="165"/>
      <c r="B15" s="238" t="s">
        <v>210</v>
      </c>
      <c r="C15" s="520" t="str">
        <f>B16</f>
        <v>宝木キッカーズ</v>
      </c>
      <c r="D15" s="520"/>
      <c r="E15" s="520"/>
      <c r="F15" s="527"/>
      <c r="G15" s="519" t="str">
        <f>B17</f>
        <v>栃木SC　U-10</v>
      </c>
      <c r="H15" s="520"/>
      <c r="I15" s="520"/>
      <c r="J15" s="527"/>
      <c r="K15" s="519" t="str">
        <f>B18</f>
        <v>石井FC</v>
      </c>
      <c r="L15" s="520"/>
      <c r="M15" s="520"/>
      <c r="N15" s="527"/>
      <c r="O15" s="519" t="str">
        <f>B19</f>
        <v>FCアネーロ・U-10</v>
      </c>
      <c r="P15" s="520"/>
      <c r="Q15" s="520"/>
      <c r="R15" s="527"/>
      <c r="S15" s="528" t="str">
        <f>B20</f>
        <v>SUGAO・SC</v>
      </c>
      <c r="T15" s="529"/>
      <c r="U15" s="529"/>
      <c r="V15" s="518"/>
      <c r="W15" s="519" t="str">
        <f>B21</f>
        <v>スポルト宇都宮U10</v>
      </c>
      <c r="X15" s="520"/>
      <c r="Y15" s="520"/>
      <c r="Z15" s="529"/>
      <c r="AA15" s="517" t="str">
        <f>B22</f>
        <v>FCアリーバ</v>
      </c>
      <c r="AB15" s="517"/>
      <c r="AC15" s="517"/>
      <c r="AD15" s="518"/>
      <c r="AE15" s="519">
        <f>B23</f>
        <v>0</v>
      </c>
      <c r="AF15" s="520"/>
      <c r="AG15" s="520"/>
      <c r="AH15" s="521"/>
      <c r="AI15" s="166" t="s">
        <v>15</v>
      </c>
      <c r="AJ15" s="167" t="s">
        <v>203</v>
      </c>
      <c r="AK15" s="167" t="s">
        <v>204</v>
      </c>
      <c r="AL15" s="167" t="s">
        <v>205</v>
      </c>
      <c r="AM15" s="168" t="s">
        <v>206</v>
      </c>
      <c r="AN15" s="169" t="s">
        <v>207</v>
      </c>
      <c r="AO15" s="170" t="s">
        <v>208</v>
      </c>
      <c r="AP15" s="171" t="s">
        <v>219</v>
      </c>
      <c r="AQ15" s="160"/>
      <c r="AR15" s="271" t="s">
        <v>255</v>
      </c>
      <c r="AS15" s="160" t="s">
        <v>220</v>
      </c>
      <c r="AT15" s="160" t="s">
        <v>221</v>
      </c>
      <c r="AU15" s="160" t="s">
        <v>222</v>
      </c>
      <c r="AV15" s="160"/>
    </row>
    <row r="16" spans="1:48" ht="24.75" customHeight="1" thickTop="1" x14ac:dyDescent="0.4">
      <c r="A16" s="172">
        <v>1</v>
      </c>
      <c r="B16" s="237" t="str">
        <f>VLOOKUP(A16,U10組合せ!B$10:I$17,5,TRUE)</f>
        <v>宝木キッカーズ</v>
      </c>
      <c r="C16" s="522"/>
      <c r="D16" s="522"/>
      <c r="E16" s="522"/>
      <c r="F16" s="523"/>
      <c r="G16" s="173" t="str">
        <f>IF(H16="","",(IF(H16-J16&gt;0,"○",IF(H16-J16&lt;0,"●","△"))))</f>
        <v>●</v>
      </c>
      <c r="H16" s="174">
        <f>IF(Bブロック対戦表!$Q12="","",Bブロック対戦表!$Q12)</f>
        <v>0</v>
      </c>
      <c r="I16" s="175" t="s">
        <v>209</v>
      </c>
      <c r="J16" s="176">
        <f>IF(Bブロック対戦表!$V12="","",Bブロック対戦表!$V12)</f>
        <v>8</v>
      </c>
      <c r="K16" s="177" t="str">
        <f>IF(L16="","",(IF(L16-N16&gt;0,"○",IF(L16-N16&lt;0,"●","△"))))</f>
        <v>●</v>
      </c>
      <c r="L16" s="178">
        <f>IF(Bブロック対戦表!$Q106="","",Bブロック対戦表!$Q106)</f>
        <v>1</v>
      </c>
      <c r="M16" s="175" t="s">
        <v>18</v>
      </c>
      <c r="N16" s="179">
        <f>IF(Bブロック対戦表!$V106="","",Bブロック対戦表!$V106)</f>
        <v>3</v>
      </c>
      <c r="O16" s="177" t="str">
        <f>IF(P16="","",(IF(P16-R16&gt;0,"○",IF(P16-R16&lt;0,"●","△"))))</f>
        <v>○</v>
      </c>
      <c r="P16" s="180">
        <f>IF(Bブロック対戦表!$Q16="","",Bブロック対戦表!$Q16)</f>
        <v>3</v>
      </c>
      <c r="Q16" s="175" t="s">
        <v>18</v>
      </c>
      <c r="R16" s="181">
        <f>IF(Bブロック対戦表!$V16="","",Bブロック対戦表!$V16)</f>
        <v>2</v>
      </c>
      <c r="S16" s="173" t="str">
        <f>IF(T16="","",(IF(T16-V16&gt;0,"○",IF(T16-V16&lt;0,"●","△"))))</f>
        <v>○</v>
      </c>
      <c r="T16" s="180">
        <f>IF(Bブロック対戦表!$Q138="","",Bブロック対戦表!$Q138)</f>
        <v>6</v>
      </c>
      <c r="U16" s="175" t="s">
        <v>18</v>
      </c>
      <c r="V16" s="181">
        <f>IF(Bブロック対戦表!$V138="","",Bブロック対戦表!$V138)</f>
        <v>2</v>
      </c>
      <c r="W16" s="173" t="str">
        <f>IF(X16="","",(IF(X16-Z16&gt;0,"○",IF(X16-Z16&lt;0,"●","△"))))</f>
        <v>●</v>
      </c>
      <c r="X16" s="179">
        <f>IF(Bブロック対戦表!$Q144="","",Bブロック対戦表!$Q144)</f>
        <v>2</v>
      </c>
      <c r="Y16" s="175" t="s">
        <v>18</v>
      </c>
      <c r="Z16" s="179">
        <f>IF(Bブロック対戦表!$V144="","",Bブロック対戦表!$V144)</f>
        <v>4</v>
      </c>
      <c r="AA16" s="173" t="str">
        <f t="shared" ref="AA16:AA21" si="21">IF(AB16="","",(IF(AB16-AD16&gt;0,"○",IF(AB16-AD16&lt;0,"●","△"))))</f>
        <v>○</v>
      </c>
      <c r="AB16" s="180">
        <f>IF(Bブロック対戦表!$Q110="","",Bブロック対戦表!$Q110)</f>
        <v>3</v>
      </c>
      <c r="AC16" s="175" t="s">
        <v>18</v>
      </c>
      <c r="AD16" s="181">
        <f>IF(Bブロック対戦表!$V110="","",Bブロック対戦表!$V110)</f>
        <v>2</v>
      </c>
      <c r="AE16" s="173" t="str">
        <f t="shared" ref="AE16:AE22" si="22">IF(AF16="","",(IF(AF16-AH16&gt;0,"○",IF(AF16-AH16&lt;0,"●","△"))))</f>
        <v/>
      </c>
      <c r="AF16" s="179"/>
      <c r="AG16" s="175" t="s">
        <v>18</v>
      </c>
      <c r="AH16" s="182"/>
      <c r="AI16" s="183">
        <f t="shared" ref="AI16:AI22" si="23">SUM(AK16:AM16)</f>
        <v>6</v>
      </c>
      <c r="AJ16" s="184">
        <f t="shared" ref="AJ16:AJ22" si="24">AK16*3+AM16</f>
        <v>9</v>
      </c>
      <c r="AK16" s="184">
        <f t="shared" ref="AK16:AK22" si="25">COUNTIF(C16:AH16,"○")</f>
        <v>3</v>
      </c>
      <c r="AL16" s="184">
        <f t="shared" ref="AL16:AL22" si="26">COUNTIF(C16:AH16,"●")</f>
        <v>3</v>
      </c>
      <c r="AM16" s="185">
        <f t="shared" ref="AM16:AM22" si="27">COUNTIF(C16:AH16,"△")</f>
        <v>0</v>
      </c>
      <c r="AN16" s="186">
        <f t="shared" ref="AN16:AN18" si="28">AO16-SUM(F16,J16,N16,R16,V16,Z16,AD16,AH16,)</f>
        <v>-6</v>
      </c>
      <c r="AO16" s="187">
        <f>SUM(D16,H16,L16,P16,T16,X16,AB16,AF16,)</f>
        <v>15</v>
      </c>
      <c r="AP16" s="188">
        <f>RANK(AQ16,AQ$16:AQ$22)</f>
        <v>3</v>
      </c>
      <c r="AQ16" s="189">
        <f t="shared" ref="AQ16:AQ22" si="29">AJ16*10000+AN16*100+AO16</f>
        <v>89415</v>
      </c>
      <c r="AR16" s="272">
        <f t="shared" si="12"/>
        <v>10</v>
      </c>
      <c r="AS16" s="234">
        <f>AJ16/$AI16</f>
        <v>1.5</v>
      </c>
      <c r="AT16" s="235">
        <f>AN16/$AI16</f>
        <v>-1</v>
      </c>
      <c r="AU16" s="235">
        <f>AO16/$AI16</f>
        <v>2.5</v>
      </c>
      <c r="AV16" s="189">
        <f>AS16*10000+AT16*100+AU16</f>
        <v>14902.5</v>
      </c>
    </row>
    <row r="17" spans="1:48" s="160" customFormat="1" ht="20.25" customHeight="1" x14ac:dyDescent="0.4">
      <c r="A17" s="190">
        <v>2</v>
      </c>
      <c r="B17" s="226" t="str">
        <f>VLOOKUP(A17,U10組合せ!B$10:I$17,5,TRUE)</f>
        <v>栃木SC　U-10</v>
      </c>
      <c r="C17" s="191" t="str">
        <f t="shared" ref="C17:C23" si="30">IF(D17="","",(IF(D17-F17&gt;0,"○",IF(D17-F17&lt;0,"●","△"))))</f>
        <v>○</v>
      </c>
      <c r="D17" s="192">
        <f>IF(J16="","",J16)</f>
        <v>8</v>
      </c>
      <c r="E17" s="193" t="s">
        <v>209</v>
      </c>
      <c r="F17" s="194">
        <f>IF(H16="","",H16)</f>
        <v>0</v>
      </c>
      <c r="G17" s="524"/>
      <c r="H17" s="525"/>
      <c r="I17" s="525"/>
      <c r="J17" s="526"/>
      <c r="K17" s="173" t="str">
        <f>IF(L17="","",(IF(L17-N17&gt;0,"○",IF(L17-N17&lt;0,"●","△"))))</f>
        <v>○</v>
      </c>
      <c r="L17" s="174">
        <f>IF(Bブロック対戦表!$V18="","",Bブロック対戦表!$V18)</f>
        <v>5</v>
      </c>
      <c r="M17" s="195" t="s">
        <v>18</v>
      </c>
      <c r="N17" s="176">
        <f>IF(Bブロック対戦表!$Q18="","",Bブロック対戦表!$Q18)</f>
        <v>0</v>
      </c>
      <c r="O17" s="196" t="str">
        <f>IF(P17="","",(IF(P17-R17&gt;0,"○",IF(P17-R17&lt;0,"●","△"))))</f>
        <v>○</v>
      </c>
      <c r="P17" s="197">
        <f>IF(Bブロック対戦表!$Q172="","",Bブロック対戦表!$Q172)</f>
        <v>7</v>
      </c>
      <c r="Q17" s="195" t="s">
        <v>18</v>
      </c>
      <c r="R17" s="198">
        <f>IF(Bブロック対戦表!$V172="","",Bブロック対戦表!$V172)</f>
        <v>0</v>
      </c>
      <c r="S17" s="173" t="str">
        <f>IF(T17="","",(IF(T17-V17&gt;0,"○",IF(T17-V17&lt;0,"●","△"))))</f>
        <v>○</v>
      </c>
      <c r="T17" s="199">
        <f>IF(Bブロック対戦表!$Q78="","",Bブロック対戦表!$Q78)</f>
        <v>14</v>
      </c>
      <c r="U17" s="200" t="s">
        <v>18</v>
      </c>
      <c r="V17" s="201">
        <f>IF(Bブロック対戦表!$V78="","",Bブロック対戦表!$V78)</f>
        <v>0</v>
      </c>
      <c r="W17" s="173" t="str">
        <f>IF(X17="","",(IF(X17-Z17&gt;0,"○",IF(X17-Z17&lt;0,"●","△"))))</f>
        <v>○</v>
      </c>
      <c r="X17" s="202">
        <f>IF(Bブロック対戦表!$Q74="","",Bブロック対戦表!$Q74)</f>
        <v>9</v>
      </c>
      <c r="Y17" s="200" t="s">
        <v>18</v>
      </c>
      <c r="Z17" s="202">
        <f>IF(Bブロック対戦表!$V74="","",Bブロック対戦表!$V74)</f>
        <v>0</v>
      </c>
      <c r="AA17" s="173" t="str">
        <f t="shared" si="21"/>
        <v>○</v>
      </c>
      <c r="AB17" s="202">
        <f>IF(Bブロック対戦表!$Q174="","",Bブロック対戦表!$Q174)</f>
        <v>5</v>
      </c>
      <c r="AC17" s="200" t="s">
        <v>18</v>
      </c>
      <c r="AD17" s="202">
        <f>IF(Bブロック対戦表!$V174="","",Bブロック対戦表!$V174)</f>
        <v>0</v>
      </c>
      <c r="AE17" s="203" t="str">
        <f t="shared" si="22"/>
        <v/>
      </c>
      <c r="AF17" s="204"/>
      <c r="AG17" s="205" t="s">
        <v>18</v>
      </c>
      <c r="AH17" s="228"/>
      <c r="AI17" s="183">
        <f t="shared" si="23"/>
        <v>6</v>
      </c>
      <c r="AJ17" s="184">
        <f t="shared" si="24"/>
        <v>18</v>
      </c>
      <c r="AK17" s="184">
        <f t="shared" si="25"/>
        <v>6</v>
      </c>
      <c r="AL17" s="184">
        <f t="shared" si="26"/>
        <v>0</v>
      </c>
      <c r="AM17" s="185">
        <f t="shared" si="27"/>
        <v>0</v>
      </c>
      <c r="AN17" s="186">
        <f t="shared" si="28"/>
        <v>48</v>
      </c>
      <c r="AO17" s="187">
        <f t="shared" ref="AO17:AO22" si="31">SUM(D17,H17,L17,P17,T17,X17,AB17,AF17,)</f>
        <v>48</v>
      </c>
      <c r="AP17" s="188">
        <f t="shared" ref="AP17:AP22" si="32">RANK(AQ17,AQ$16:AQ$22)</f>
        <v>1</v>
      </c>
      <c r="AQ17" s="189">
        <f t="shared" si="29"/>
        <v>184848</v>
      </c>
      <c r="AR17" s="272">
        <f t="shared" si="12"/>
        <v>1</v>
      </c>
      <c r="AS17" s="234">
        <f t="shared" ref="AS17:AS22" si="33">AJ17/$AI17</f>
        <v>3</v>
      </c>
      <c r="AT17" s="235">
        <f t="shared" ref="AT17:AT22" si="34">AN17/$AI17</f>
        <v>8</v>
      </c>
      <c r="AU17" s="235">
        <f t="shared" ref="AU17:AU22" si="35">AO17/$AI17</f>
        <v>8</v>
      </c>
      <c r="AV17" s="189">
        <f t="shared" ref="AV17:AV22" si="36">AS17*10000+AT17*100+AU17</f>
        <v>30808</v>
      </c>
    </row>
    <row r="18" spans="1:48" ht="25.5" customHeight="1" x14ac:dyDescent="0.4">
      <c r="A18" s="190">
        <v>3</v>
      </c>
      <c r="B18" s="226" t="str">
        <f>VLOOKUP(A18,U10組合せ!B$10:I$17,5,TRUE)</f>
        <v>石井FC</v>
      </c>
      <c r="C18" s="191" t="str">
        <f t="shared" si="30"/>
        <v>○</v>
      </c>
      <c r="D18" s="208">
        <f>IF(N16="","",N16)</f>
        <v>3</v>
      </c>
      <c r="E18" s="209" t="s">
        <v>209</v>
      </c>
      <c r="F18" s="210">
        <f>IF(L16="","",L16)</f>
        <v>1</v>
      </c>
      <c r="G18" s="173" t="str">
        <f t="shared" ref="G18:G23" si="37">IF(H18="","",(IF(H18-J18&gt;0,"○",IF(H18-J18&lt;0,"●","△"))))</f>
        <v>●</v>
      </c>
      <c r="H18" s="192">
        <f>IF(N17="","",N17)</f>
        <v>0</v>
      </c>
      <c r="I18" s="193" t="s">
        <v>209</v>
      </c>
      <c r="J18" s="194">
        <f>IF(L17="","",L17)</f>
        <v>5</v>
      </c>
      <c r="K18" s="530"/>
      <c r="L18" s="531"/>
      <c r="M18" s="531"/>
      <c r="N18" s="531"/>
      <c r="O18" s="173" t="str">
        <f>IF(P18="","",(IF(P18-R18&gt;0,"○",IF(P18-R18&lt;0,"●","△"))))</f>
        <v>●</v>
      </c>
      <c r="P18" s="174">
        <f>IF(Bブロック対戦表!$Q14="","",Bブロック対戦表!$Q14)</f>
        <v>0</v>
      </c>
      <c r="Q18" s="195" t="s">
        <v>18</v>
      </c>
      <c r="R18" s="174">
        <f>IF(Bブロック対戦表!$V14="","",Bブロック対戦表!$V14)</f>
        <v>1</v>
      </c>
      <c r="S18" s="173" t="str">
        <f>IF(T18="","",(IF(T18-V18&gt;0,"○",IF(T18-V18&lt;0,"●","△"))))</f>
        <v>○</v>
      </c>
      <c r="T18" s="206">
        <f>IF(Bブロック対戦表!$Q142="","",Bブロック対戦表!$Q142)</f>
        <v>10</v>
      </c>
      <c r="U18" s="195" t="s">
        <v>18</v>
      </c>
      <c r="V18" s="206">
        <f>IF(Bブロック対戦表!$V142="","",Bブロック対戦表!$V142)</f>
        <v>0</v>
      </c>
      <c r="W18" s="173" t="str">
        <f>IF(X18="","",(IF(X18-Z18&gt;0,"○",IF(X18-Z18&lt;0,"●","△"))))</f>
        <v>△</v>
      </c>
      <c r="X18" s="176">
        <f>IF(Bブロック対戦表!$Q140="","",Bブロック対戦表!$Q140)</f>
        <v>2</v>
      </c>
      <c r="Y18" s="195" t="s">
        <v>18</v>
      </c>
      <c r="Z18" s="176">
        <f>IF(Bブロック対戦表!$V140="","",Bブロック対戦表!$V140)</f>
        <v>2</v>
      </c>
      <c r="AA18" s="173" t="str">
        <f t="shared" si="21"/>
        <v>●</v>
      </c>
      <c r="AB18" s="206">
        <f>IF(Bブロック対戦表!$Q108="","",Bブロック対戦表!$Q108)</f>
        <v>0</v>
      </c>
      <c r="AC18" s="195" t="s">
        <v>18</v>
      </c>
      <c r="AD18" s="206">
        <f>IF(Bブロック対戦表!$V108="","",Bブロック対戦表!$V108)</f>
        <v>7</v>
      </c>
      <c r="AE18" s="211" t="str">
        <f t="shared" si="22"/>
        <v/>
      </c>
      <c r="AF18" s="202"/>
      <c r="AG18" s="200" t="s">
        <v>18</v>
      </c>
      <c r="AH18" s="214"/>
      <c r="AI18" s="183">
        <f t="shared" si="23"/>
        <v>6</v>
      </c>
      <c r="AJ18" s="184">
        <f t="shared" si="24"/>
        <v>7</v>
      </c>
      <c r="AK18" s="184">
        <f t="shared" si="25"/>
        <v>2</v>
      </c>
      <c r="AL18" s="184">
        <f t="shared" si="26"/>
        <v>3</v>
      </c>
      <c r="AM18" s="185">
        <f t="shared" si="27"/>
        <v>1</v>
      </c>
      <c r="AN18" s="186">
        <f t="shared" si="28"/>
        <v>-1</v>
      </c>
      <c r="AO18" s="187">
        <f t="shared" si="31"/>
        <v>15</v>
      </c>
      <c r="AP18" s="188">
        <f t="shared" si="32"/>
        <v>6</v>
      </c>
      <c r="AQ18" s="189">
        <f t="shared" si="29"/>
        <v>69915</v>
      </c>
      <c r="AR18" s="272">
        <f t="shared" si="12"/>
        <v>14</v>
      </c>
      <c r="AS18" s="234">
        <f t="shared" si="33"/>
        <v>1.1666666666666667</v>
      </c>
      <c r="AT18" s="235">
        <f t="shared" si="34"/>
        <v>-0.16666666666666666</v>
      </c>
      <c r="AU18" s="235">
        <f t="shared" si="35"/>
        <v>2.5</v>
      </c>
      <c r="AV18" s="189">
        <f t="shared" si="36"/>
        <v>11652.500000000002</v>
      </c>
    </row>
    <row r="19" spans="1:48" ht="25.5" customHeight="1" x14ac:dyDescent="0.4">
      <c r="A19" s="190">
        <v>4</v>
      </c>
      <c r="B19" s="226" t="str">
        <f>VLOOKUP(A19,U10組合せ!B$10:I$17,5,TRUE)</f>
        <v>FCアネーロ・U-10</v>
      </c>
      <c r="C19" s="191" t="str">
        <f t="shared" si="30"/>
        <v>●</v>
      </c>
      <c r="D19" s="208">
        <f>IF(R16="","",R16)</f>
        <v>2</v>
      </c>
      <c r="E19" s="209" t="s">
        <v>209</v>
      </c>
      <c r="F19" s="210">
        <f>IF(P16="","",P16)</f>
        <v>3</v>
      </c>
      <c r="G19" s="173" t="str">
        <f t="shared" si="37"/>
        <v>●</v>
      </c>
      <c r="H19" s="208">
        <f>IF(R17="","",R17)</f>
        <v>0</v>
      </c>
      <c r="I19" s="209" t="s">
        <v>209</v>
      </c>
      <c r="J19" s="210">
        <f>IF(P17="","",P17)</f>
        <v>7</v>
      </c>
      <c r="K19" s="173" t="str">
        <f t="shared" ref="K19:K23" si="38">IF(L19="","",(IF(L19-N19&gt;0,"○",IF(L19-N19&lt;0,"●","△"))))</f>
        <v>○</v>
      </c>
      <c r="L19" s="212">
        <f>IF(R18="","",R18)</f>
        <v>1</v>
      </c>
      <c r="M19" s="200" t="s">
        <v>209</v>
      </c>
      <c r="N19" s="213">
        <f>IF(P18="","",P18)</f>
        <v>0</v>
      </c>
      <c r="O19" s="531"/>
      <c r="P19" s="531"/>
      <c r="Q19" s="531"/>
      <c r="R19" s="532"/>
      <c r="S19" s="173" t="str">
        <f>IF(T19="","",(IF(T19-V19&gt;0,"○",IF(T19-V19&lt;0,"●","△"))))</f>
        <v>○</v>
      </c>
      <c r="T19" s="176">
        <f>IF(Bブロック対戦表!$Q76="","",Bブロック対戦表!$Q76)</f>
        <v>9</v>
      </c>
      <c r="U19" s="195" t="s">
        <v>18</v>
      </c>
      <c r="V19" s="176">
        <f>IF(Bブロック対戦表!$V76="","",Bブロック対戦表!$V76)</f>
        <v>0</v>
      </c>
      <c r="W19" s="173" t="str">
        <f>IF(X19="","",(IF(X19-Z19&gt;0,"○",IF(X19-Z19&lt;0,"●","△"))))</f>
        <v>△</v>
      </c>
      <c r="X19" s="199">
        <f>IF(Bブロック対戦表!$Q80="","",Bブロック対戦表!$Q80)</f>
        <v>0</v>
      </c>
      <c r="Y19" s="200" t="s">
        <v>18</v>
      </c>
      <c r="Z19" s="201">
        <f>IF(Bブロック対戦表!$V80="","",Bブロック対戦表!$V80)</f>
        <v>0</v>
      </c>
      <c r="AA19" s="173" t="str">
        <f t="shared" si="21"/>
        <v>●</v>
      </c>
      <c r="AB19" s="199">
        <f>IF(Bブロック対戦表!$Q170="","",Bブロック対戦表!$Q170)</f>
        <v>1</v>
      </c>
      <c r="AC19" s="200" t="s">
        <v>18</v>
      </c>
      <c r="AD19" s="201">
        <f>IF(Bブロック対戦表!$V170="","",Bブロック対戦表!$V170)</f>
        <v>3</v>
      </c>
      <c r="AE19" s="173" t="str">
        <f t="shared" si="22"/>
        <v/>
      </c>
      <c r="AF19" s="176"/>
      <c r="AG19" s="195" t="s">
        <v>18</v>
      </c>
      <c r="AH19" s="229"/>
      <c r="AI19" s="183">
        <f t="shared" si="23"/>
        <v>6</v>
      </c>
      <c r="AJ19" s="184">
        <f t="shared" si="24"/>
        <v>7</v>
      </c>
      <c r="AK19" s="184">
        <f t="shared" si="25"/>
        <v>2</v>
      </c>
      <c r="AL19" s="184">
        <f t="shared" si="26"/>
        <v>3</v>
      </c>
      <c r="AM19" s="185">
        <f t="shared" si="27"/>
        <v>1</v>
      </c>
      <c r="AN19" s="186">
        <f>AO19-SUM(F19,J19,N19,R19,V19,Z19,AD19,AH19,)</f>
        <v>0</v>
      </c>
      <c r="AO19" s="187">
        <f t="shared" si="31"/>
        <v>13</v>
      </c>
      <c r="AP19" s="188">
        <f t="shared" si="32"/>
        <v>5</v>
      </c>
      <c r="AQ19" s="189">
        <f t="shared" si="29"/>
        <v>70013</v>
      </c>
      <c r="AR19" s="272">
        <f t="shared" si="12"/>
        <v>13</v>
      </c>
      <c r="AS19" s="234">
        <f t="shared" si="33"/>
        <v>1.1666666666666667</v>
      </c>
      <c r="AT19" s="235">
        <f t="shared" si="34"/>
        <v>0</v>
      </c>
      <c r="AU19" s="235">
        <f t="shared" si="35"/>
        <v>2.1666666666666665</v>
      </c>
      <c r="AV19" s="189">
        <f t="shared" si="36"/>
        <v>11668.833333333334</v>
      </c>
    </row>
    <row r="20" spans="1:48" ht="25.5" customHeight="1" x14ac:dyDescent="0.4">
      <c r="A20" s="190">
        <v>5</v>
      </c>
      <c r="B20" s="226" t="str">
        <f>VLOOKUP(A20,U10組合せ!B$10:I$17,5,TRUE)</f>
        <v>SUGAO・SC</v>
      </c>
      <c r="C20" s="191" t="str">
        <f t="shared" si="30"/>
        <v>●</v>
      </c>
      <c r="D20" s="208">
        <f>IF(V16="","",V16)</f>
        <v>2</v>
      </c>
      <c r="E20" s="209" t="s">
        <v>209</v>
      </c>
      <c r="F20" s="210">
        <f>IF(T16="","",T16)</f>
        <v>6</v>
      </c>
      <c r="G20" s="173" t="str">
        <f t="shared" si="37"/>
        <v>●</v>
      </c>
      <c r="H20" s="208">
        <f>IF(V17="","",V17)</f>
        <v>0</v>
      </c>
      <c r="I20" s="209" t="s">
        <v>209</v>
      </c>
      <c r="J20" s="210">
        <f>IF(T17="","",T17)</f>
        <v>14</v>
      </c>
      <c r="K20" s="173" t="str">
        <f t="shared" si="38"/>
        <v>●</v>
      </c>
      <c r="L20" s="212">
        <f>IF(V18="","",V18)</f>
        <v>0</v>
      </c>
      <c r="M20" s="200" t="s">
        <v>209</v>
      </c>
      <c r="N20" s="212">
        <f>IF(T18="","",T18)</f>
        <v>10</v>
      </c>
      <c r="O20" s="173" t="str">
        <f t="shared" ref="O20:O23" si="39">IF(P20="","",(IF(P20-R20&gt;0,"○",IF(P20-R20&lt;0,"●","△"))))</f>
        <v>●</v>
      </c>
      <c r="P20" s="212">
        <f>IF(V19="","",V19)</f>
        <v>0</v>
      </c>
      <c r="Q20" s="200" t="s">
        <v>209</v>
      </c>
      <c r="R20" s="213">
        <f>IF(T19="","",T19)</f>
        <v>9</v>
      </c>
      <c r="S20" s="530"/>
      <c r="T20" s="531"/>
      <c r="U20" s="531"/>
      <c r="V20" s="532"/>
      <c r="W20" s="173" t="str">
        <f>IF(X20="","",(IF(X20-Z20&gt;0,"○",IF(X20-Z20&lt;0,"●","△"))))</f>
        <v>●</v>
      </c>
      <c r="X20" s="199">
        <f>IF(Bブロック対戦表!$Q45="","",Bブロック対戦表!$Q45)</f>
        <v>0</v>
      </c>
      <c r="Y20" s="200" t="s">
        <v>18</v>
      </c>
      <c r="Z20" s="201">
        <f>IF(Bブロック対戦表!$V45="","",Bブロック対戦表!$V45)</f>
        <v>12</v>
      </c>
      <c r="AA20" s="173" t="str">
        <f t="shared" si="21"/>
        <v>●</v>
      </c>
      <c r="AB20" s="206">
        <f>IF(Bブロック対戦表!$Q47="","",Bブロック対戦表!$Q47)</f>
        <v>0</v>
      </c>
      <c r="AC20" s="195" t="s">
        <v>18</v>
      </c>
      <c r="AD20" s="206">
        <f>IF(Bブロック対戦表!$V47="","",Bブロック対戦表!$V47)</f>
        <v>16</v>
      </c>
      <c r="AE20" s="173" t="str">
        <f t="shared" si="22"/>
        <v/>
      </c>
      <c r="AF20" s="199"/>
      <c r="AG20" s="200" t="s">
        <v>18</v>
      </c>
      <c r="AH20" s="214"/>
      <c r="AI20" s="183">
        <f t="shared" si="23"/>
        <v>6</v>
      </c>
      <c r="AJ20" s="184">
        <f t="shared" si="24"/>
        <v>0</v>
      </c>
      <c r="AK20" s="184">
        <f t="shared" si="25"/>
        <v>0</v>
      </c>
      <c r="AL20" s="184">
        <f t="shared" si="26"/>
        <v>6</v>
      </c>
      <c r="AM20" s="185">
        <f t="shared" si="27"/>
        <v>0</v>
      </c>
      <c r="AN20" s="186">
        <f t="shared" ref="AN20:AN22" si="40">AO20-SUM(F20,J20,N20,R20,V20,Z20,AD20,AH20,)</f>
        <v>-65</v>
      </c>
      <c r="AO20" s="187">
        <f t="shared" si="31"/>
        <v>2</v>
      </c>
      <c r="AP20" s="188">
        <f t="shared" si="32"/>
        <v>7</v>
      </c>
      <c r="AQ20" s="189">
        <f t="shared" si="29"/>
        <v>-6498</v>
      </c>
      <c r="AR20" s="272">
        <f t="shared" si="12"/>
        <v>22</v>
      </c>
      <c r="AS20" s="234">
        <f t="shared" si="33"/>
        <v>0</v>
      </c>
      <c r="AT20" s="235">
        <f t="shared" si="34"/>
        <v>-10.833333333333334</v>
      </c>
      <c r="AU20" s="235">
        <f t="shared" si="35"/>
        <v>0.33333333333333331</v>
      </c>
      <c r="AV20" s="189">
        <f t="shared" si="36"/>
        <v>-1083.0000000000002</v>
      </c>
    </row>
    <row r="21" spans="1:48" ht="25.5" customHeight="1" x14ac:dyDescent="0.4">
      <c r="A21" s="190">
        <v>6</v>
      </c>
      <c r="B21" s="226" t="str">
        <f>VLOOKUP(A21,U10組合せ!B$10:I$17,5,TRUE)</f>
        <v>スポルト宇都宮U10</v>
      </c>
      <c r="C21" s="191" t="str">
        <f t="shared" si="30"/>
        <v>○</v>
      </c>
      <c r="D21" s="208">
        <f>IF(Z16="","",Z16)</f>
        <v>4</v>
      </c>
      <c r="E21" s="209" t="s">
        <v>209</v>
      </c>
      <c r="F21" s="210">
        <f>IF(X16="","",X16)</f>
        <v>2</v>
      </c>
      <c r="G21" s="173" t="str">
        <f t="shared" si="37"/>
        <v>●</v>
      </c>
      <c r="H21" s="208">
        <f>IF(Z17="","",Z17)</f>
        <v>0</v>
      </c>
      <c r="I21" s="209" t="s">
        <v>209</v>
      </c>
      <c r="J21" s="210">
        <f>IF(X17="","",X17)</f>
        <v>9</v>
      </c>
      <c r="K21" s="173" t="str">
        <f t="shared" si="38"/>
        <v>△</v>
      </c>
      <c r="L21" s="212">
        <f>IF(Z18="","",Z18)</f>
        <v>2</v>
      </c>
      <c r="M21" s="200" t="s">
        <v>209</v>
      </c>
      <c r="N21" s="212">
        <f>IF(X18="","",X18)</f>
        <v>2</v>
      </c>
      <c r="O21" s="173" t="str">
        <f t="shared" si="39"/>
        <v>△</v>
      </c>
      <c r="P21" s="212">
        <f>IF(Z19="","",Z19)</f>
        <v>0</v>
      </c>
      <c r="Q21" s="200" t="s">
        <v>209</v>
      </c>
      <c r="R21" s="213">
        <f>IF(X19="","",X19)</f>
        <v>0</v>
      </c>
      <c r="S21" s="173" t="str">
        <f>IF(T21="","",(IF(T21-V21&gt;0,"○",IF(T21-V21&lt;0,"●","△"))))</f>
        <v>○</v>
      </c>
      <c r="T21" s="212">
        <f>IF(Z20="","",Z20)</f>
        <v>12</v>
      </c>
      <c r="U21" s="200" t="s">
        <v>209</v>
      </c>
      <c r="V21" s="213">
        <f>IF(X20="","",X20)</f>
        <v>0</v>
      </c>
      <c r="W21" s="530"/>
      <c r="X21" s="531"/>
      <c r="Y21" s="531"/>
      <c r="Z21" s="532"/>
      <c r="AA21" s="173" t="str">
        <f t="shared" si="21"/>
        <v>●</v>
      </c>
      <c r="AB21" s="202">
        <f>IF(Bブロック対戦表!$V43="","",Bブロック対戦表!$V43)</f>
        <v>1</v>
      </c>
      <c r="AC21" s="200" t="s">
        <v>18</v>
      </c>
      <c r="AD21" s="202">
        <f>IF(Bブロック対戦表!$Q43="","",Bブロック対戦表!$Q43)</f>
        <v>6</v>
      </c>
      <c r="AE21" s="173" t="str">
        <f t="shared" si="22"/>
        <v/>
      </c>
      <c r="AF21" s="206"/>
      <c r="AG21" s="195" t="s">
        <v>18</v>
      </c>
      <c r="AH21" s="207"/>
      <c r="AI21" s="183">
        <f t="shared" si="23"/>
        <v>6</v>
      </c>
      <c r="AJ21" s="184">
        <f t="shared" si="24"/>
        <v>8</v>
      </c>
      <c r="AK21" s="184">
        <f t="shared" si="25"/>
        <v>2</v>
      </c>
      <c r="AL21" s="184">
        <f t="shared" si="26"/>
        <v>2</v>
      </c>
      <c r="AM21" s="185">
        <f t="shared" si="27"/>
        <v>2</v>
      </c>
      <c r="AN21" s="186">
        <f t="shared" si="40"/>
        <v>0</v>
      </c>
      <c r="AO21" s="187">
        <f t="shared" si="31"/>
        <v>19</v>
      </c>
      <c r="AP21" s="188">
        <f t="shared" si="32"/>
        <v>4</v>
      </c>
      <c r="AQ21" s="189">
        <f t="shared" si="29"/>
        <v>80019</v>
      </c>
      <c r="AR21" s="272">
        <f t="shared" si="12"/>
        <v>12</v>
      </c>
      <c r="AS21" s="234">
        <f t="shared" si="33"/>
        <v>1.3333333333333333</v>
      </c>
      <c r="AT21" s="235">
        <f t="shared" si="34"/>
        <v>0</v>
      </c>
      <c r="AU21" s="235">
        <f t="shared" si="35"/>
        <v>3.1666666666666665</v>
      </c>
      <c r="AV21" s="189">
        <f t="shared" si="36"/>
        <v>13336.499999999998</v>
      </c>
    </row>
    <row r="22" spans="1:48" ht="25.5" customHeight="1" x14ac:dyDescent="0.4">
      <c r="A22" s="190">
        <v>7</v>
      </c>
      <c r="B22" s="226" t="str">
        <f>VLOOKUP(A22,U10組合せ!B$10:I$17,5,TRUE)</f>
        <v>FCアリーバ</v>
      </c>
      <c r="C22" s="191" t="str">
        <f t="shared" si="30"/>
        <v>●</v>
      </c>
      <c r="D22" s="208">
        <f>IF(AD16="","",AD16)</f>
        <v>2</v>
      </c>
      <c r="E22" s="209" t="s">
        <v>209</v>
      </c>
      <c r="F22" s="210">
        <f>IF(AB16="","",AB16)</f>
        <v>3</v>
      </c>
      <c r="G22" s="173" t="str">
        <f t="shared" si="37"/>
        <v>●</v>
      </c>
      <c r="H22" s="208">
        <f>IF(AD17="","",AD17)</f>
        <v>0</v>
      </c>
      <c r="I22" s="209" t="s">
        <v>209</v>
      </c>
      <c r="J22" s="210">
        <f>IF(AB17="","",AB17)</f>
        <v>5</v>
      </c>
      <c r="K22" s="173" t="str">
        <f t="shared" si="38"/>
        <v>○</v>
      </c>
      <c r="L22" s="212">
        <f>IF(AD18="","",AD18)</f>
        <v>7</v>
      </c>
      <c r="M22" s="200" t="s">
        <v>209</v>
      </c>
      <c r="N22" s="212">
        <f>IF(AB18="","",AB18)</f>
        <v>0</v>
      </c>
      <c r="O22" s="173" t="str">
        <f t="shared" si="39"/>
        <v>○</v>
      </c>
      <c r="P22" s="212">
        <f>IF(AD19="","",AD19)</f>
        <v>3</v>
      </c>
      <c r="Q22" s="200" t="s">
        <v>209</v>
      </c>
      <c r="R22" s="213">
        <f>IF(AB19="","",AB19)</f>
        <v>1</v>
      </c>
      <c r="S22" s="173" t="str">
        <f>IF(T22="","",(IF(T22-V22&gt;0,"○",IF(T22-V22&lt;0,"●","△"))))</f>
        <v>○</v>
      </c>
      <c r="T22" s="212">
        <f>IF(AD20="","",AD20)</f>
        <v>16</v>
      </c>
      <c r="U22" s="200" t="s">
        <v>209</v>
      </c>
      <c r="V22" s="213">
        <f>IF(AB20="","",AB20)</f>
        <v>0</v>
      </c>
      <c r="W22" s="173" t="str">
        <f>IF(X22="","",(IF(X22-Z22&gt;0,"○",IF(X22-Z22&lt;0,"●","△"))))</f>
        <v>○</v>
      </c>
      <c r="X22" s="212">
        <f>IF(AD21="","",AD21)</f>
        <v>6</v>
      </c>
      <c r="Y22" s="200" t="s">
        <v>209</v>
      </c>
      <c r="Z22" s="213">
        <f>IF(AB21="","",AB21)</f>
        <v>1</v>
      </c>
      <c r="AA22" s="530"/>
      <c r="AB22" s="531"/>
      <c r="AC22" s="531"/>
      <c r="AD22" s="532"/>
      <c r="AE22" s="173" t="str">
        <f t="shared" si="22"/>
        <v/>
      </c>
      <c r="AF22" s="176"/>
      <c r="AG22" s="195" t="s">
        <v>18</v>
      </c>
      <c r="AH22" s="229"/>
      <c r="AI22" s="183">
        <f t="shared" si="23"/>
        <v>6</v>
      </c>
      <c r="AJ22" s="184">
        <f t="shared" si="24"/>
        <v>12</v>
      </c>
      <c r="AK22" s="184">
        <f t="shared" si="25"/>
        <v>4</v>
      </c>
      <c r="AL22" s="184">
        <f t="shared" si="26"/>
        <v>2</v>
      </c>
      <c r="AM22" s="185">
        <f t="shared" si="27"/>
        <v>0</v>
      </c>
      <c r="AN22" s="186">
        <f t="shared" si="40"/>
        <v>24</v>
      </c>
      <c r="AO22" s="187">
        <f t="shared" si="31"/>
        <v>34</v>
      </c>
      <c r="AP22" s="188">
        <f t="shared" si="32"/>
        <v>2</v>
      </c>
      <c r="AQ22" s="189">
        <f t="shared" si="29"/>
        <v>122434</v>
      </c>
      <c r="AR22" s="272">
        <f t="shared" si="12"/>
        <v>5</v>
      </c>
      <c r="AS22" s="234">
        <f t="shared" si="33"/>
        <v>2</v>
      </c>
      <c r="AT22" s="235">
        <f t="shared" si="34"/>
        <v>4</v>
      </c>
      <c r="AU22" s="235">
        <f t="shared" si="35"/>
        <v>5.666666666666667</v>
      </c>
      <c r="AV22" s="189">
        <f t="shared" si="36"/>
        <v>20405.666666666668</v>
      </c>
    </row>
    <row r="23" spans="1:48" ht="25.5" customHeight="1" x14ac:dyDescent="0.4">
      <c r="A23" s="190">
        <v>8</v>
      </c>
      <c r="B23" s="226">
        <f>VLOOKUP(A23,U10組合せ!B$10:I$17,5,TRUE)</f>
        <v>0</v>
      </c>
      <c r="C23" s="191" t="str">
        <f t="shared" si="30"/>
        <v/>
      </c>
      <c r="D23" s="208" t="str">
        <f>IF(AH16="","",AH16)</f>
        <v/>
      </c>
      <c r="E23" s="209" t="s">
        <v>209</v>
      </c>
      <c r="F23" s="210" t="str">
        <f>IF(AF16="","",AF16)</f>
        <v/>
      </c>
      <c r="G23" s="173" t="str">
        <f t="shared" si="37"/>
        <v/>
      </c>
      <c r="H23" s="208" t="str">
        <f>IF(AH17="","",AH17)</f>
        <v/>
      </c>
      <c r="I23" s="209" t="s">
        <v>209</v>
      </c>
      <c r="J23" s="210" t="str">
        <f>IF(AF17="","",AF17)</f>
        <v/>
      </c>
      <c r="K23" s="173" t="str">
        <f t="shared" si="38"/>
        <v/>
      </c>
      <c r="L23" s="212" t="str">
        <f>IF(AH18="","",AH18)</f>
        <v/>
      </c>
      <c r="M23" s="200" t="s">
        <v>209</v>
      </c>
      <c r="N23" s="212" t="str">
        <f>IF(AF18="","",AF18)</f>
        <v/>
      </c>
      <c r="O23" s="173" t="str">
        <f t="shared" si="39"/>
        <v/>
      </c>
      <c r="P23" s="212" t="str">
        <f>IF(AH19="","",AH19)</f>
        <v/>
      </c>
      <c r="Q23" s="200" t="s">
        <v>209</v>
      </c>
      <c r="R23" s="213" t="str">
        <f>IF(AF19="","",AF19)</f>
        <v/>
      </c>
      <c r="S23" s="173" t="str">
        <f>IF(T23="","",(IF(T23-V23&gt;0,"○",IF(T23-V23&lt;0,"●","△"))))</f>
        <v/>
      </c>
      <c r="T23" s="212" t="str">
        <f>IF(AH20="","",AH20)</f>
        <v/>
      </c>
      <c r="U23" s="200" t="s">
        <v>209</v>
      </c>
      <c r="V23" s="213" t="str">
        <f>IF(AF20="","",AF20)</f>
        <v/>
      </c>
      <c r="W23" s="173" t="str">
        <f>IF(X23="","",(IF(X23-Z23&gt;0,"○",IF(X23-Z23&lt;0,"●","△"))))</f>
        <v/>
      </c>
      <c r="X23" s="212" t="str">
        <f>IF(AH21="","",AH21)</f>
        <v/>
      </c>
      <c r="Y23" s="200" t="s">
        <v>209</v>
      </c>
      <c r="Z23" s="213" t="str">
        <f>IF(AF21="","",AF21)</f>
        <v/>
      </c>
      <c r="AA23" s="173" t="str">
        <f>IF(AB23="","",(IF(AB23-AD23&gt;0,"○",IF(AB23-AD23&lt;0,"●","△"))))</f>
        <v/>
      </c>
      <c r="AB23" s="212" t="str">
        <f>IF(AH22="","",AH22)</f>
        <v/>
      </c>
      <c r="AC23" s="200" t="s">
        <v>209</v>
      </c>
      <c r="AD23" s="213" t="str">
        <f>IF(AF22="","",AF22)</f>
        <v/>
      </c>
      <c r="AE23" s="530"/>
      <c r="AF23" s="531"/>
      <c r="AG23" s="531"/>
      <c r="AH23" s="533"/>
      <c r="AI23" s="183"/>
      <c r="AJ23" s="184"/>
      <c r="AK23" s="184"/>
      <c r="AL23" s="184"/>
      <c r="AM23" s="185"/>
      <c r="AN23" s="186"/>
      <c r="AO23" s="187"/>
      <c r="AP23" s="188"/>
      <c r="AQ23" s="189"/>
      <c r="AR23" s="272"/>
      <c r="AS23" s="234"/>
      <c r="AT23" s="235"/>
      <c r="AU23" s="235"/>
      <c r="AV23" s="189"/>
    </row>
    <row r="24" spans="1:48" ht="25.5" customHeight="1" x14ac:dyDescent="0.4">
      <c r="A24" s="215"/>
      <c r="B24" s="216"/>
      <c r="C24" s="217"/>
      <c r="D24" s="218"/>
      <c r="E24" s="217"/>
      <c r="F24" s="218"/>
      <c r="G24" s="217"/>
      <c r="H24" s="218"/>
      <c r="I24" s="217"/>
      <c r="J24" s="218"/>
      <c r="K24" s="217"/>
      <c r="L24" s="218"/>
      <c r="M24" s="217"/>
      <c r="N24" s="218"/>
      <c r="O24" s="217"/>
      <c r="P24" s="218"/>
      <c r="Q24" s="217"/>
      <c r="R24" s="218"/>
      <c r="S24" s="217"/>
      <c r="T24" s="218"/>
      <c r="U24" s="217"/>
      <c r="V24" s="218"/>
      <c r="W24" s="217"/>
      <c r="X24" s="218"/>
      <c r="Y24" s="217"/>
      <c r="Z24" s="218"/>
      <c r="AA24" s="217"/>
      <c r="AB24" s="218"/>
      <c r="AC24" s="217"/>
      <c r="AD24" s="218"/>
      <c r="AE24" s="219"/>
      <c r="AF24" s="219"/>
      <c r="AG24" s="219"/>
      <c r="AH24" s="219"/>
      <c r="AI24" s="220"/>
      <c r="AJ24" s="220"/>
      <c r="AK24" s="220"/>
      <c r="AL24" s="220"/>
      <c r="AM24" s="220"/>
      <c r="AN24" s="221"/>
      <c r="AO24" s="221"/>
      <c r="AP24" s="222"/>
      <c r="AQ24" s="189"/>
      <c r="AS24" s="234"/>
      <c r="AT24" s="235"/>
      <c r="AU24" s="235"/>
      <c r="AV24" s="189"/>
    </row>
    <row r="25" spans="1:48" ht="25.5" customHeight="1" x14ac:dyDescent="0.4">
      <c r="C25" s="161"/>
      <c r="E25" s="163" t="s">
        <v>225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Q25" s="189" t="e">
        <f>#REF!*10000+#REF!*100+#REF!</f>
        <v>#REF!</v>
      </c>
    </row>
    <row r="26" spans="1:48" ht="25.5" customHeight="1" thickBot="1" x14ac:dyDescent="0.45">
      <c r="B26" s="164"/>
      <c r="C26" s="161"/>
      <c r="G26" s="161"/>
    </row>
    <row r="27" spans="1:48" ht="25.5" customHeight="1" thickBot="1" x14ac:dyDescent="0.45">
      <c r="A27" s="165"/>
      <c r="B27" s="238" t="s">
        <v>226</v>
      </c>
      <c r="C27" s="520" t="str">
        <f>B28</f>
        <v>宇大付属小SSS　U-10</v>
      </c>
      <c r="D27" s="520"/>
      <c r="E27" s="520"/>
      <c r="F27" s="527"/>
      <c r="G27" s="519" t="str">
        <f>B29</f>
        <v>S4スぺランツァ</v>
      </c>
      <c r="H27" s="520"/>
      <c r="I27" s="520"/>
      <c r="J27" s="527"/>
      <c r="K27" s="519" t="str">
        <f>B30</f>
        <v>豊郷JFC宇都宮U-10</v>
      </c>
      <c r="L27" s="520"/>
      <c r="M27" s="520"/>
      <c r="N27" s="527"/>
      <c r="O27" s="519" t="str">
        <f>B31</f>
        <v>緑ヶ丘YFC</v>
      </c>
      <c r="P27" s="520"/>
      <c r="Q27" s="520"/>
      <c r="R27" s="527"/>
      <c r="S27" s="528" t="str">
        <f>B32</f>
        <v>カテット白沢</v>
      </c>
      <c r="T27" s="529"/>
      <c r="U27" s="529"/>
      <c r="V27" s="518"/>
      <c r="W27" s="519" t="str">
        <f>B33</f>
        <v>FC みらい</v>
      </c>
      <c r="X27" s="520"/>
      <c r="Y27" s="520"/>
      <c r="Z27" s="529"/>
      <c r="AA27" s="517" t="str">
        <f>B34</f>
        <v>FC　Riso</v>
      </c>
      <c r="AB27" s="517"/>
      <c r="AC27" s="517"/>
      <c r="AD27" s="518"/>
      <c r="AE27" s="519">
        <f>B35</f>
        <v>0</v>
      </c>
      <c r="AF27" s="520"/>
      <c r="AG27" s="520"/>
      <c r="AH27" s="521"/>
      <c r="AI27" s="166" t="s">
        <v>15</v>
      </c>
      <c r="AJ27" s="167" t="s">
        <v>203</v>
      </c>
      <c r="AK27" s="167" t="s">
        <v>204</v>
      </c>
      <c r="AL27" s="167" t="s">
        <v>205</v>
      </c>
      <c r="AM27" s="168" t="s">
        <v>206</v>
      </c>
      <c r="AN27" s="169" t="s">
        <v>207</v>
      </c>
      <c r="AO27" s="170" t="s">
        <v>208</v>
      </c>
      <c r="AP27" s="171" t="s">
        <v>219</v>
      </c>
      <c r="AQ27" s="160"/>
      <c r="AR27" s="271" t="s">
        <v>255</v>
      </c>
      <c r="AS27" s="160" t="s">
        <v>220</v>
      </c>
      <c r="AT27" s="160" t="s">
        <v>221</v>
      </c>
      <c r="AU27" s="160" t="s">
        <v>222</v>
      </c>
      <c r="AV27" s="160"/>
    </row>
    <row r="28" spans="1:48" ht="24.75" customHeight="1" thickTop="1" x14ac:dyDescent="0.4">
      <c r="A28" s="172">
        <v>1</v>
      </c>
      <c r="B28" s="237" t="str">
        <f>VLOOKUP(A28,U10組合せ!B$10:I$17,7,TRUE)</f>
        <v>宇大付属小SSS　U-10</v>
      </c>
      <c r="C28" s="522"/>
      <c r="D28" s="522"/>
      <c r="E28" s="522"/>
      <c r="F28" s="523"/>
      <c r="G28" s="173" t="str">
        <f>IF(H28="","",(IF(H28-J28&gt;0,"○",IF(H28-J28&lt;0,"●","△"))))</f>
        <v>●</v>
      </c>
      <c r="H28" s="174">
        <f>IF(Cブロック対戦表!$Q12="","",Cブロック対戦表!$Q12)</f>
        <v>0</v>
      </c>
      <c r="I28" s="175" t="s">
        <v>209</v>
      </c>
      <c r="J28" s="176">
        <f>IF(Cブロック対戦表!$V12="","",Cブロック対戦表!$V12)</f>
        <v>14</v>
      </c>
      <c r="K28" s="177" t="str">
        <f>IF(L28="","",(IF(L28-N28&gt;0,"○",IF(L28-N28&lt;0,"●","△"))))</f>
        <v>●</v>
      </c>
      <c r="L28" s="178">
        <f>IF(Cブロック対戦表!$Q106="","",Cブロック対戦表!$Q106)</f>
        <v>0</v>
      </c>
      <c r="M28" s="175" t="s">
        <v>18</v>
      </c>
      <c r="N28" s="179">
        <f>IF(Cブロック対戦表!$V106="","",Cブロック対戦表!$V106)</f>
        <v>1</v>
      </c>
      <c r="O28" s="177" t="str">
        <f>IF(P28="","",(IF(P28-R28&gt;0,"○",IF(P28-R28&lt;0,"●","△"))))</f>
        <v>●</v>
      </c>
      <c r="P28" s="180">
        <f>IF(Cブロック対戦表!$Q16="","",Cブロック対戦表!$Q16)</f>
        <v>0</v>
      </c>
      <c r="Q28" s="175" t="s">
        <v>18</v>
      </c>
      <c r="R28" s="181">
        <f>IF(Cブロック対戦表!$V16="","",Cブロック対戦表!$V16)</f>
        <v>1</v>
      </c>
      <c r="S28" s="173" t="str">
        <f>IF(T28="","",(IF(T28-V28&gt;0,"○",IF(T28-V28&lt;0,"●","△"))))</f>
        <v>●</v>
      </c>
      <c r="T28" s="180">
        <f>IF(Cブロック対戦表!$Q138="","",Cブロック対戦表!$Q138)</f>
        <v>0</v>
      </c>
      <c r="U28" s="175" t="s">
        <v>18</v>
      </c>
      <c r="V28" s="181">
        <f>IF(Cブロック対戦表!$V138="","",Cブロック対戦表!$V138)</f>
        <v>4</v>
      </c>
      <c r="W28" s="173" t="str">
        <f>IF(X28="","",(IF(X28-Z28&gt;0,"○",IF(X28-Z28&lt;0,"●","△"))))</f>
        <v>●</v>
      </c>
      <c r="X28" s="179">
        <f>IF(Cブロック対戦表!$Q144="","",Cブロック対戦表!$Q144)</f>
        <v>0</v>
      </c>
      <c r="Y28" s="175" t="s">
        <v>18</v>
      </c>
      <c r="Z28" s="179">
        <f>IF(Cブロック対戦表!$V144="","",Cブロック対戦表!$V144)</f>
        <v>2</v>
      </c>
      <c r="AA28" s="173" t="str">
        <f t="shared" ref="AA28:AA33" si="41">IF(AB28="","",(IF(AB28-AD28&gt;0,"○",IF(AB28-AD28&lt;0,"●","△"))))</f>
        <v>●</v>
      </c>
      <c r="AB28" s="180">
        <f>IF(Cブロック対戦表!$Q110="","",Cブロック対戦表!$Q110)</f>
        <v>0</v>
      </c>
      <c r="AC28" s="175" t="s">
        <v>18</v>
      </c>
      <c r="AD28" s="181">
        <f>IF(Cブロック対戦表!$V110="","",Cブロック対戦表!$V110)</f>
        <v>6</v>
      </c>
      <c r="AE28" s="173" t="str">
        <f t="shared" ref="AE28:AE34" si="42">IF(AF28="","",(IF(AF28-AH28&gt;0,"○",IF(AF28-AH28&lt;0,"●","△"))))</f>
        <v/>
      </c>
      <c r="AF28" s="179"/>
      <c r="AG28" s="175" t="s">
        <v>18</v>
      </c>
      <c r="AH28" s="182"/>
      <c r="AI28" s="183">
        <f t="shared" ref="AI28:AI34" si="43">SUM(AK28:AM28)</f>
        <v>6</v>
      </c>
      <c r="AJ28" s="184">
        <f t="shared" ref="AJ28:AJ34" si="44">AK28*3+AM28</f>
        <v>0</v>
      </c>
      <c r="AK28" s="184">
        <f t="shared" ref="AK28:AK34" si="45">COUNTIF(C28:AH28,"○")</f>
        <v>0</v>
      </c>
      <c r="AL28" s="184">
        <f t="shared" ref="AL28:AL34" si="46">COUNTIF(C28:AH28,"●")</f>
        <v>6</v>
      </c>
      <c r="AM28" s="185">
        <f t="shared" ref="AM28:AM34" si="47">COUNTIF(C28:AH28,"△")</f>
        <v>0</v>
      </c>
      <c r="AN28" s="186">
        <f t="shared" ref="AN28:AN34" si="48">AO28-SUM(F28,J28,N28,R28,V28,Z28,AD28,AH28,)</f>
        <v>-28</v>
      </c>
      <c r="AO28" s="187">
        <f>SUM(D28,H28,L28,P28,T28,X28,AB28,AF28,)</f>
        <v>0</v>
      </c>
      <c r="AP28" s="188">
        <f>RANK(AQ28,AQ$28:AQ$34)</f>
        <v>7</v>
      </c>
      <c r="AQ28" s="189">
        <f t="shared" ref="AQ28:AQ34" si="49">AJ28*10000+AN28*100+AO28</f>
        <v>-2800</v>
      </c>
      <c r="AR28" s="272">
        <f t="shared" si="12"/>
        <v>20</v>
      </c>
      <c r="AS28" s="234">
        <f>AJ28/$AI28</f>
        <v>0</v>
      </c>
      <c r="AT28" s="235">
        <f>AN28/$AI28</f>
        <v>-4.666666666666667</v>
      </c>
      <c r="AU28" s="235">
        <f>AO28/$AI28</f>
        <v>0</v>
      </c>
      <c r="AV28" s="189">
        <f>AS28*10000+AT28*100+AU28</f>
        <v>-466.66666666666669</v>
      </c>
    </row>
    <row r="29" spans="1:48" s="160" customFormat="1" ht="20.25" customHeight="1" x14ac:dyDescent="0.4">
      <c r="A29" s="190">
        <v>2</v>
      </c>
      <c r="B29" s="226" t="str">
        <f>VLOOKUP(A29,U10組合せ!B$10:I$17,7,TRUE)</f>
        <v>S4スぺランツァ</v>
      </c>
      <c r="C29" s="191" t="str">
        <f t="shared" ref="C29:C35" si="50">IF(D29="","",(IF(D29-F29&gt;0,"○",IF(D29-F29&lt;0,"●","△"))))</f>
        <v>○</v>
      </c>
      <c r="D29" s="192">
        <f>IF(J28="","",J28)</f>
        <v>14</v>
      </c>
      <c r="E29" s="193" t="s">
        <v>209</v>
      </c>
      <c r="F29" s="194">
        <f>IF(H28="","",H28)</f>
        <v>0</v>
      </c>
      <c r="G29" s="524"/>
      <c r="H29" s="525"/>
      <c r="I29" s="525"/>
      <c r="J29" s="526"/>
      <c r="K29" s="173" t="str">
        <f>IF(L29="","",(IF(L29-N29&gt;0,"○",IF(L29-N29&lt;0,"●","△"))))</f>
        <v>○</v>
      </c>
      <c r="L29" s="174">
        <f>IF(Cブロック対戦表!$V18="","",Cブロック対戦表!$V18)</f>
        <v>2</v>
      </c>
      <c r="M29" s="195" t="s">
        <v>18</v>
      </c>
      <c r="N29" s="176">
        <f>IF(Cブロック対戦表!$Q18="","",Cブロック対戦表!$Q18)</f>
        <v>0</v>
      </c>
      <c r="O29" s="196" t="str">
        <f>IF(P29="","",(IF(P29-R29&gt;0,"○",IF(P29-R29&lt;0,"●","△"))))</f>
        <v>○</v>
      </c>
      <c r="P29" s="197">
        <f>IF(Cブロック対戦表!$Q172="","",Cブロック対戦表!$Q172)</f>
        <v>4</v>
      </c>
      <c r="Q29" s="195" t="s">
        <v>18</v>
      </c>
      <c r="R29" s="198">
        <f>IF(Cブロック対戦表!$V172="","",Cブロック対戦表!$V172)</f>
        <v>0</v>
      </c>
      <c r="S29" s="173" t="str">
        <f>IF(T29="","",(IF(T29-V29&gt;0,"○",IF(T29-V29&lt;0,"●","△"))))</f>
        <v>○</v>
      </c>
      <c r="T29" s="199">
        <f>IF(Cブロック対戦表!$Q78="","",Cブロック対戦表!$Q78)</f>
        <v>2</v>
      </c>
      <c r="U29" s="200" t="s">
        <v>18</v>
      </c>
      <c r="V29" s="201">
        <f>IF(Cブロック対戦表!$V78="","",Cブロック対戦表!$V78)</f>
        <v>0</v>
      </c>
      <c r="W29" s="173" t="str">
        <f>IF(X29="","",(IF(X29-Z29&gt;0,"○",IF(X29-Z29&lt;0,"●","△"))))</f>
        <v>○</v>
      </c>
      <c r="X29" s="202">
        <f>IF(Cブロック対戦表!$Q74="","",Cブロック対戦表!$Q74)</f>
        <v>7</v>
      </c>
      <c r="Y29" s="200" t="s">
        <v>18</v>
      </c>
      <c r="Z29" s="202">
        <f>IF(Cブロック対戦表!$V74="","",Cブロック対戦表!$V74)</f>
        <v>0</v>
      </c>
      <c r="AA29" s="173" t="str">
        <f t="shared" si="41"/>
        <v>△</v>
      </c>
      <c r="AB29" s="202">
        <f>IF(Cブロック対戦表!$Q174="","",Cブロック対戦表!$Q174)</f>
        <v>0</v>
      </c>
      <c r="AC29" s="200" t="s">
        <v>18</v>
      </c>
      <c r="AD29" s="202">
        <f>IF(Cブロック対戦表!$V174="","",Cブロック対戦表!$V174)</f>
        <v>0</v>
      </c>
      <c r="AE29" s="203" t="str">
        <f t="shared" si="42"/>
        <v/>
      </c>
      <c r="AF29" s="204"/>
      <c r="AG29" s="205" t="s">
        <v>18</v>
      </c>
      <c r="AH29" s="228"/>
      <c r="AI29" s="183">
        <f t="shared" si="43"/>
        <v>6</v>
      </c>
      <c r="AJ29" s="184">
        <f t="shared" si="44"/>
        <v>16</v>
      </c>
      <c r="AK29" s="184">
        <f t="shared" si="45"/>
        <v>5</v>
      </c>
      <c r="AL29" s="184">
        <f t="shared" si="46"/>
        <v>0</v>
      </c>
      <c r="AM29" s="185">
        <f t="shared" si="47"/>
        <v>1</v>
      </c>
      <c r="AN29" s="186">
        <f t="shared" si="48"/>
        <v>29</v>
      </c>
      <c r="AO29" s="187">
        <f t="shared" ref="AO29:AO34" si="51">SUM(D29,H29,L29,P29,T29,X29,AB29,AF29,)</f>
        <v>29</v>
      </c>
      <c r="AP29" s="188">
        <f t="shared" ref="AP29:AP34" si="52">RANK(AQ29,AQ$28:AQ$34)</f>
        <v>1</v>
      </c>
      <c r="AQ29" s="189">
        <f t="shared" si="49"/>
        <v>162929</v>
      </c>
      <c r="AR29" s="272">
        <f t="shared" si="12"/>
        <v>2</v>
      </c>
      <c r="AS29" s="234">
        <f t="shared" ref="AS29:AS34" si="53">AJ29/$AI29</f>
        <v>2.6666666666666665</v>
      </c>
      <c r="AT29" s="235">
        <f t="shared" ref="AT29:AT34" si="54">AN29/$AI29</f>
        <v>4.833333333333333</v>
      </c>
      <c r="AU29" s="235">
        <f t="shared" ref="AU29:AU34" si="55">AO29/$AI29</f>
        <v>4.833333333333333</v>
      </c>
      <c r="AV29" s="189">
        <f t="shared" ref="AV29:AV34" si="56">AS29*10000+AT29*100+AU29</f>
        <v>27154.833333333328</v>
      </c>
    </row>
    <row r="30" spans="1:48" ht="25.5" customHeight="1" x14ac:dyDescent="0.4">
      <c r="A30" s="190">
        <v>3</v>
      </c>
      <c r="B30" s="226" t="str">
        <f>VLOOKUP(A30,U10組合せ!B$10:I$17,7,TRUE)</f>
        <v>豊郷JFC宇都宮U-10</v>
      </c>
      <c r="C30" s="191" t="str">
        <f t="shared" si="50"/>
        <v>○</v>
      </c>
      <c r="D30" s="208">
        <f>IF(N28="","",N28)</f>
        <v>1</v>
      </c>
      <c r="E30" s="209" t="s">
        <v>209</v>
      </c>
      <c r="F30" s="210">
        <f>IF(L28="","",L28)</f>
        <v>0</v>
      </c>
      <c r="G30" s="173" t="str">
        <f t="shared" ref="G30:G35" si="57">IF(H30="","",(IF(H30-J30&gt;0,"○",IF(H30-J30&lt;0,"●","△"))))</f>
        <v>●</v>
      </c>
      <c r="H30" s="192">
        <f>IF(N29="","",N29)</f>
        <v>0</v>
      </c>
      <c r="I30" s="193" t="s">
        <v>209</v>
      </c>
      <c r="J30" s="194">
        <f>IF(L29="","",L29)</f>
        <v>2</v>
      </c>
      <c r="K30" s="530"/>
      <c r="L30" s="531"/>
      <c r="M30" s="531"/>
      <c r="N30" s="531"/>
      <c r="O30" s="173" t="str">
        <f>IF(P30="","",(IF(P30-R30&gt;0,"○",IF(P30-R30&lt;0,"●","△"))))</f>
        <v>●</v>
      </c>
      <c r="P30" s="174">
        <f>IF(Cブロック対戦表!$Q14="","",Cブロック対戦表!$Q14)</f>
        <v>1</v>
      </c>
      <c r="Q30" s="195" t="s">
        <v>18</v>
      </c>
      <c r="R30" s="174">
        <f>IF(Cブロック対戦表!$V14="","",Cブロック対戦表!$V14)</f>
        <v>4</v>
      </c>
      <c r="S30" s="173" t="str">
        <f>IF(T30="","",(IF(T30-V30&gt;0,"○",IF(T30-V30&lt;0,"●","△"))))</f>
        <v>●</v>
      </c>
      <c r="T30" s="242">
        <f>IF(Cブロック対戦表!$Q142="","",Cブロック対戦表!$Q142)</f>
        <v>0</v>
      </c>
      <c r="U30" s="195" t="s">
        <v>18</v>
      </c>
      <c r="V30" s="242">
        <f>IF(Cブロック対戦表!$V142="","",Cブロック対戦表!$V142)</f>
        <v>3</v>
      </c>
      <c r="W30" s="173" t="str">
        <f>IF(X30="","",(IF(X30-Z30&gt;0,"○",IF(X30-Z30&lt;0,"●","△"))))</f>
        <v>●</v>
      </c>
      <c r="X30" s="176">
        <f>IF(Cブロック対戦表!$Q140="","",Cブロック対戦表!$Q140)</f>
        <v>0</v>
      </c>
      <c r="Y30" s="195" t="s">
        <v>18</v>
      </c>
      <c r="Z30" s="176">
        <f>IF(Cブロック対戦表!$V140="","",Cブロック対戦表!$V140)</f>
        <v>7</v>
      </c>
      <c r="AA30" s="173" t="str">
        <f t="shared" si="41"/>
        <v>●</v>
      </c>
      <c r="AB30" s="206">
        <f>IF(Cブロック対戦表!$Q108="","",Cブロック対戦表!$Q108)</f>
        <v>0</v>
      </c>
      <c r="AC30" s="195" t="s">
        <v>18</v>
      </c>
      <c r="AD30" s="206">
        <f>IF(Cブロック対戦表!$V108="","",Cブロック対戦表!$V108)</f>
        <v>3</v>
      </c>
      <c r="AE30" s="211" t="str">
        <f t="shared" si="42"/>
        <v/>
      </c>
      <c r="AF30" s="202"/>
      <c r="AG30" s="200" t="s">
        <v>18</v>
      </c>
      <c r="AH30" s="214"/>
      <c r="AI30" s="183">
        <f t="shared" si="43"/>
        <v>6</v>
      </c>
      <c r="AJ30" s="184">
        <f t="shared" si="44"/>
        <v>3</v>
      </c>
      <c r="AK30" s="184">
        <f t="shared" si="45"/>
        <v>1</v>
      </c>
      <c r="AL30" s="184">
        <f t="shared" si="46"/>
        <v>5</v>
      </c>
      <c r="AM30" s="185">
        <f t="shared" si="47"/>
        <v>0</v>
      </c>
      <c r="AN30" s="186">
        <f t="shared" si="48"/>
        <v>-17</v>
      </c>
      <c r="AO30" s="187">
        <f t="shared" si="51"/>
        <v>2</v>
      </c>
      <c r="AP30" s="188">
        <f t="shared" si="52"/>
        <v>6</v>
      </c>
      <c r="AQ30" s="189">
        <f t="shared" si="49"/>
        <v>28302</v>
      </c>
      <c r="AR30" s="272">
        <f t="shared" si="12"/>
        <v>19</v>
      </c>
      <c r="AS30" s="234">
        <f t="shared" si="53"/>
        <v>0.5</v>
      </c>
      <c r="AT30" s="235">
        <f t="shared" si="54"/>
        <v>-2.8333333333333335</v>
      </c>
      <c r="AU30" s="235">
        <f t="shared" si="55"/>
        <v>0.33333333333333331</v>
      </c>
      <c r="AV30" s="189">
        <f t="shared" si="56"/>
        <v>4717</v>
      </c>
    </row>
    <row r="31" spans="1:48" ht="25.5" customHeight="1" x14ac:dyDescent="0.4">
      <c r="A31" s="190">
        <v>4</v>
      </c>
      <c r="B31" s="226" t="str">
        <f>VLOOKUP(A31,U10組合せ!B$10:I$17,7,TRUE)</f>
        <v>緑ヶ丘YFC</v>
      </c>
      <c r="C31" s="191" t="str">
        <f t="shared" si="50"/>
        <v>○</v>
      </c>
      <c r="D31" s="208">
        <f>IF(R28="","",R28)</f>
        <v>1</v>
      </c>
      <c r="E31" s="209" t="s">
        <v>209</v>
      </c>
      <c r="F31" s="210">
        <f>IF(P28="","",P28)</f>
        <v>0</v>
      </c>
      <c r="G31" s="173" t="str">
        <f t="shared" si="57"/>
        <v>●</v>
      </c>
      <c r="H31" s="208">
        <f>IF(R29="","",R29)</f>
        <v>0</v>
      </c>
      <c r="I31" s="209" t="s">
        <v>209</v>
      </c>
      <c r="J31" s="210">
        <f>IF(P29="","",P29)</f>
        <v>4</v>
      </c>
      <c r="K31" s="173" t="str">
        <f t="shared" ref="K31:K35" si="58">IF(L31="","",(IF(L31-N31&gt;0,"○",IF(L31-N31&lt;0,"●","△"))))</f>
        <v>○</v>
      </c>
      <c r="L31" s="212">
        <f>IF(R30="","",R30)</f>
        <v>4</v>
      </c>
      <c r="M31" s="200" t="s">
        <v>209</v>
      </c>
      <c r="N31" s="213">
        <f>IF(P30="","",P30)</f>
        <v>1</v>
      </c>
      <c r="O31" s="531"/>
      <c r="P31" s="531"/>
      <c r="Q31" s="531"/>
      <c r="R31" s="532"/>
      <c r="S31" s="173" t="str">
        <f>IF(T31="","",(IF(T31-V31&gt;0,"○",IF(T31-V31&lt;0,"●","△"))))</f>
        <v>●</v>
      </c>
      <c r="T31" s="176">
        <f>IF(Cブロック対戦表!$Q76="","",Cブロック対戦表!$Q76)</f>
        <v>3</v>
      </c>
      <c r="U31" s="195" t="s">
        <v>18</v>
      </c>
      <c r="V31" s="176">
        <f>IF(Cブロック対戦表!$V76="","",Cブロック対戦表!$V76)</f>
        <v>4</v>
      </c>
      <c r="W31" s="173" t="str">
        <f>IF(X31="","",(IF(X31-Z31&gt;0,"○",IF(X31-Z31&lt;0,"●","△"))))</f>
        <v>●</v>
      </c>
      <c r="X31" s="199">
        <f>IF(Cブロック対戦表!$Q80="","",Cブロック対戦表!$Q80)</f>
        <v>1</v>
      </c>
      <c r="Y31" s="200" t="s">
        <v>18</v>
      </c>
      <c r="Z31" s="201">
        <f>IF(Cブロック対戦表!$V80="","",Cブロック対戦表!$V80)</f>
        <v>9</v>
      </c>
      <c r="AA31" s="173" t="str">
        <f t="shared" si="41"/>
        <v>●</v>
      </c>
      <c r="AB31" s="199">
        <f>IF(Cブロック対戦表!$Q170="","",Cブロック対戦表!$Q170)</f>
        <v>0</v>
      </c>
      <c r="AC31" s="200" t="s">
        <v>18</v>
      </c>
      <c r="AD31" s="201">
        <f>IF(Cブロック対戦表!$V170="","",Cブロック対戦表!$V170)</f>
        <v>6</v>
      </c>
      <c r="AE31" s="173" t="str">
        <f t="shared" si="42"/>
        <v/>
      </c>
      <c r="AF31" s="176"/>
      <c r="AG31" s="195" t="s">
        <v>18</v>
      </c>
      <c r="AH31" s="229"/>
      <c r="AI31" s="183">
        <f t="shared" si="43"/>
        <v>6</v>
      </c>
      <c r="AJ31" s="184">
        <f t="shared" si="44"/>
        <v>6</v>
      </c>
      <c r="AK31" s="184">
        <f t="shared" si="45"/>
        <v>2</v>
      </c>
      <c r="AL31" s="184">
        <f t="shared" si="46"/>
        <v>4</v>
      </c>
      <c r="AM31" s="185">
        <f t="shared" si="47"/>
        <v>0</v>
      </c>
      <c r="AN31" s="186">
        <f t="shared" si="48"/>
        <v>-15</v>
      </c>
      <c r="AO31" s="187">
        <f t="shared" si="51"/>
        <v>9</v>
      </c>
      <c r="AP31" s="188">
        <f t="shared" si="52"/>
        <v>5</v>
      </c>
      <c r="AQ31" s="189">
        <f t="shared" si="49"/>
        <v>58509</v>
      </c>
      <c r="AR31" s="272">
        <f t="shared" si="12"/>
        <v>18</v>
      </c>
      <c r="AS31" s="234">
        <f t="shared" si="53"/>
        <v>1</v>
      </c>
      <c r="AT31" s="235">
        <f t="shared" si="54"/>
        <v>-2.5</v>
      </c>
      <c r="AU31" s="235">
        <f t="shared" si="55"/>
        <v>1.5</v>
      </c>
      <c r="AV31" s="189">
        <f t="shared" si="56"/>
        <v>9751.5</v>
      </c>
    </row>
    <row r="32" spans="1:48" ht="25.5" customHeight="1" x14ac:dyDescent="0.4">
      <c r="A32" s="190">
        <v>5</v>
      </c>
      <c r="B32" s="226" t="str">
        <f>VLOOKUP(A32,U10組合せ!B$10:I$17,7,TRUE)</f>
        <v>カテット白沢</v>
      </c>
      <c r="C32" s="191" t="str">
        <f t="shared" si="50"/>
        <v>○</v>
      </c>
      <c r="D32" s="208">
        <f>IF(V28="","",V28)</f>
        <v>4</v>
      </c>
      <c r="E32" s="209" t="s">
        <v>209</v>
      </c>
      <c r="F32" s="210">
        <f>IF(T28="","",T28)</f>
        <v>0</v>
      </c>
      <c r="G32" s="173" t="str">
        <f t="shared" si="57"/>
        <v>●</v>
      </c>
      <c r="H32" s="208">
        <f>IF(V29="","",V29)</f>
        <v>0</v>
      </c>
      <c r="I32" s="209" t="s">
        <v>209</v>
      </c>
      <c r="J32" s="210">
        <f>IF(T29="","",T29)</f>
        <v>2</v>
      </c>
      <c r="K32" s="173" t="str">
        <f t="shared" si="58"/>
        <v>○</v>
      </c>
      <c r="L32" s="212">
        <f>IF(V30="","",V30)</f>
        <v>3</v>
      </c>
      <c r="M32" s="200" t="s">
        <v>209</v>
      </c>
      <c r="N32" s="212">
        <f>IF(T30="","",T30)</f>
        <v>0</v>
      </c>
      <c r="O32" s="173" t="str">
        <f t="shared" ref="O32:O35" si="59">IF(P32="","",(IF(P32-R32&gt;0,"○",IF(P32-R32&lt;0,"●","△"))))</f>
        <v>○</v>
      </c>
      <c r="P32" s="212">
        <f>IF(V31="","",V31)</f>
        <v>4</v>
      </c>
      <c r="Q32" s="200" t="s">
        <v>209</v>
      </c>
      <c r="R32" s="213">
        <f>IF(T31="","",T31)</f>
        <v>3</v>
      </c>
      <c r="S32" s="530"/>
      <c r="T32" s="531"/>
      <c r="U32" s="531"/>
      <c r="V32" s="532"/>
      <c r="W32" s="173" t="str">
        <f>IF(X32="","",(IF(X32-Z32&gt;0,"○",IF(X32-Z32&lt;0,"●","△"))))</f>
        <v>△</v>
      </c>
      <c r="X32" s="199">
        <f>IF(Cブロック対戦表!$Q43="","",Cブロック対戦表!$Q43)</f>
        <v>0</v>
      </c>
      <c r="Y32" s="200" t="s">
        <v>18</v>
      </c>
      <c r="Z32" s="201">
        <f>IF(Cブロック対戦表!$V43="","",Cブロック対戦表!$V43)</f>
        <v>0</v>
      </c>
      <c r="AA32" s="173" t="str">
        <f t="shared" si="41"/>
        <v>●</v>
      </c>
      <c r="AB32" s="206">
        <f>IF(Cブロック対戦表!$V47="","",Cブロック対戦表!$V47)</f>
        <v>0</v>
      </c>
      <c r="AC32" s="195" t="s">
        <v>18</v>
      </c>
      <c r="AD32" s="206">
        <f>IF(Cブロック対戦表!$Q47="","",Cブロック対戦表!$Q47)</f>
        <v>5</v>
      </c>
      <c r="AE32" s="173" t="str">
        <f t="shared" si="42"/>
        <v/>
      </c>
      <c r="AF32" s="199"/>
      <c r="AG32" s="200" t="s">
        <v>18</v>
      </c>
      <c r="AH32" s="214"/>
      <c r="AI32" s="183">
        <f t="shared" si="43"/>
        <v>6</v>
      </c>
      <c r="AJ32" s="184">
        <f t="shared" si="44"/>
        <v>10</v>
      </c>
      <c r="AK32" s="184">
        <f t="shared" si="45"/>
        <v>3</v>
      </c>
      <c r="AL32" s="184">
        <f t="shared" si="46"/>
        <v>2</v>
      </c>
      <c r="AM32" s="185">
        <f t="shared" si="47"/>
        <v>1</v>
      </c>
      <c r="AN32" s="186">
        <f t="shared" si="48"/>
        <v>1</v>
      </c>
      <c r="AO32" s="187">
        <f t="shared" si="51"/>
        <v>11</v>
      </c>
      <c r="AP32" s="188">
        <f t="shared" si="52"/>
        <v>4</v>
      </c>
      <c r="AQ32" s="189">
        <f t="shared" si="49"/>
        <v>100111</v>
      </c>
      <c r="AR32" s="272">
        <f t="shared" si="12"/>
        <v>9</v>
      </c>
      <c r="AS32" s="234">
        <f t="shared" si="53"/>
        <v>1.6666666666666667</v>
      </c>
      <c r="AT32" s="235">
        <f t="shared" si="54"/>
        <v>0.16666666666666666</v>
      </c>
      <c r="AU32" s="235">
        <f t="shared" si="55"/>
        <v>1.8333333333333333</v>
      </c>
      <c r="AV32" s="189">
        <f t="shared" si="56"/>
        <v>16685.166666666668</v>
      </c>
    </row>
    <row r="33" spans="1:48" ht="25.5" customHeight="1" x14ac:dyDescent="0.4">
      <c r="A33" s="190">
        <v>6</v>
      </c>
      <c r="B33" s="226" t="str">
        <f>VLOOKUP(A33,U10組合せ!B$10:I$17,7,TRUE)</f>
        <v>FC みらい</v>
      </c>
      <c r="C33" s="191" t="str">
        <f t="shared" si="50"/>
        <v>○</v>
      </c>
      <c r="D33" s="208">
        <f>IF(Z28="","",Z28)</f>
        <v>2</v>
      </c>
      <c r="E33" s="209" t="s">
        <v>209</v>
      </c>
      <c r="F33" s="210">
        <f>IF(X28="","",X28)</f>
        <v>0</v>
      </c>
      <c r="G33" s="173" t="str">
        <f t="shared" si="57"/>
        <v>●</v>
      </c>
      <c r="H33" s="208">
        <f>IF(Z29="","",Z29)</f>
        <v>0</v>
      </c>
      <c r="I33" s="209" t="s">
        <v>209</v>
      </c>
      <c r="J33" s="210">
        <f>IF(X29="","",X29)</f>
        <v>7</v>
      </c>
      <c r="K33" s="173" t="str">
        <f t="shared" si="58"/>
        <v>○</v>
      </c>
      <c r="L33" s="212">
        <f>IF(Z30="","",Z30)</f>
        <v>7</v>
      </c>
      <c r="M33" s="200" t="s">
        <v>209</v>
      </c>
      <c r="N33" s="212">
        <f>IF(X30="","",X30)</f>
        <v>0</v>
      </c>
      <c r="O33" s="173" t="str">
        <f t="shared" si="59"/>
        <v>○</v>
      </c>
      <c r="P33" s="212">
        <f>IF(Z31="","",Z31)</f>
        <v>9</v>
      </c>
      <c r="Q33" s="200" t="s">
        <v>209</v>
      </c>
      <c r="R33" s="213">
        <f>IF(X31="","",X31)</f>
        <v>1</v>
      </c>
      <c r="S33" s="173" t="str">
        <f>IF(T33="","",(IF(T33-V33&gt;0,"○",IF(T33-V33&lt;0,"●","△"))))</f>
        <v>△</v>
      </c>
      <c r="T33" s="212">
        <f>IF(Z32="","",Z32)</f>
        <v>0</v>
      </c>
      <c r="U33" s="200" t="s">
        <v>209</v>
      </c>
      <c r="V33" s="213">
        <f>IF(X32="","",X32)</f>
        <v>0</v>
      </c>
      <c r="W33" s="530"/>
      <c r="X33" s="531"/>
      <c r="Y33" s="531"/>
      <c r="Z33" s="532"/>
      <c r="AA33" s="173" t="str">
        <f t="shared" si="41"/>
        <v>●</v>
      </c>
      <c r="AB33" s="202">
        <f>IF(Cブロック対戦表!$V45="","",Cブロック対戦表!$V45)</f>
        <v>0</v>
      </c>
      <c r="AC33" s="200" t="s">
        <v>18</v>
      </c>
      <c r="AD33" s="202">
        <f>IF(Cブロック対戦表!$Q45="","",Cブロック対戦表!$Q45)</f>
        <v>3</v>
      </c>
      <c r="AE33" s="173" t="str">
        <f t="shared" si="42"/>
        <v/>
      </c>
      <c r="AF33" s="206"/>
      <c r="AG33" s="195" t="s">
        <v>18</v>
      </c>
      <c r="AH33" s="207"/>
      <c r="AI33" s="183">
        <f t="shared" si="43"/>
        <v>6</v>
      </c>
      <c r="AJ33" s="184">
        <f t="shared" si="44"/>
        <v>10</v>
      </c>
      <c r="AK33" s="184">
        <f t="shared" si="45"/>
        <v>3</v>
      </c>
      <c r="AL33" s="184">
        <f t="shared" si="46"/>
        <v>2</v>
      </c>
      <c r="AM33" s="185">
        <f t="shared" si="47"/>
        <v>1</v>
      </c>
      <c r="AN33" s="186">
        <f t="shared" si="48"/>
        <v>7</v>
      </c>
      <c r="AO33" s="187">
        <f t="shared" si="51"/>
        <v>18</v>
      </c>
      <c r="AP33" s="188">
        <f t="shared" si="52"/>
        <v>3</v>
      </c>
      <c r="AQ33" s="189">
        <f t="shared" si="49"/>
        <v>100718</v>
      </c>
      <c r="AR33" s="272">
        <f t="shared" si="12"/>
        <v>8</v>
      </c>
      <c r="AS33" s="234">
        <f t="shared" si="53"/>
        <v>1.6666666666666667</v>
      </c>
      <c r="AT33" s="235">
        <f t="shared" si="54"/>
        <v>1.1666666666666667</v>
      </c>
      <c r="AU33" s="235">
        <f t="shared" si="55"/>
        <v>3</v>
      </c>
      <c r="AV33" s="189">
        <f t="shared" si="56"/>
        <v>16786.333333333336</v>
      </c>
    </row>
    <row r="34" spans="1:48" ht="25.5" customHeight="1" x14ac:dyDescent="0.4">
      <c r="A34" s="190">
        <v>7</v>
      </c>
      <c r="B34" s="226" t="str">
        <f>VLOOKUP(A34,U10組合せ!B$10:I$17,7,TRUE)</f>
        <v>FC　Riso</v>
      </c>
      <c r="C34" s="191" t="str">
        <f t="shared" si="50"/>
        <v>○</v>
      </c>
      <c r="D34" s="208">
        <f>IF(AD28="","",AD28)</f>
        <v>6</v>
      </c>
      <c r="E34" s="209" t="s">
        <v>209</v>
      </c>
      <c r="F34" s="210">
        <f>IF(AB28="","",AB28)</f>
        <v>0</v>
      </c>
      <c r="G34" s="173" t="str">
        <f t="shared" si="57"/>
        <v>△</v>
      </c>
      <c r="H34" s="208">
        <f>IF(AD29="","",AD29)</f>
        <v>0</v>
      </c>
      <c r="I34" s="209" t="s">
        <v>209</v>
      </c>
      <c r="J34" s="210">
        <f>IF(AB29="","",AB29)</f>
        <v>0</v>
      </c>
      <c r="K34" s="173" t="str">
        <f t="shared" si="58"/>
        <v>○</v>
      </c>
      <c r="L34" s="212">
        <f>IF(AD30="","",AD30)</f>
        <v>3</v>
      </c>
      <c r="M34" s="200" t="s">
        <v>209</v>
      </c>
      <c r="N34" s="212">
        <f>IF(AB30="","",AB30)</f>
        <v>0</v>
      </c>
      <c r="O34" s="173" t="str">
        <f t="shared" si="59"/>
        <v>○</v>
      </c>
      <c r="P34" s="212">
        <f>IF(AD31="","",AD31)</f>
        <v>6</v>
      </c>
      <c r="Q34" s="200" t="s">
        <v>209</v>
      </c>
      <c r="R34" s="213">
        <f>IF(AB31="","",AB31)</f>
        <v>0</v>
      </c>
      <c r="S34" s="173" t="str">
        <f>IF(T34="","",(IF(T34-V34&gt;0,"○",IF(T34-V34&lt;0,"●","△"))))</f>
        <v>○</v>
      </c>
      <c r="T34" s="212">
        <f>IF(AD32="","",AD32)</f>
        <v>5</v>
      </c>
      <c r="U34" s="200" t="s">
        <v>209</v>
      </c>
      <c r="V34" s="213">
        <f>IF(AB32="","",AB32)</f>
        <v>0</v>
      </c>
      <c r="W34" s="173" t="str">
        <f>IF(X34="","",(IF(X34-Z34&gt;0,"○",IF(X34-Z34&lt;0,"●","△"))))</f>
        <v>○</v>
      </c>
      <c r="X34" s="212">
        <f>IF(AD33="","",AD33)</f>
        <v>3</v>
      </c>
      <c r="Y34" s="200" t="s">
        <v>209</v>
      </c>
      <c r="Z34" s="213">
        <f>IF(AB33="","",AB33)</f>
        <v>0</v>
      </c>
      <c r="AA34" s="530"/>
      <c r="AB34" s="531"/>
      <c r="AC34" s="531"/>
      <c r="AD34" s="532"/>
      <c r="AE34" s="173" t="str">
        <f t="shared" si="42"/>
        <v/>
      </c>
      <c r="AF34" s="176"/>
      <c r="AG34" s="195" t="s">
        <v>18</v>
      </c>
      <c r="AH34" s="229"/>
      <c r="AI34" s="183">
        <f t="shared" si="43"/>
        <v>6</v>
      </c>
      <c r="AJ34" s="184">
        <f t="shared" si="44"/>
        <v>16</v>
      </c>
      <c r="AK34" s="184">
        <f t="shared" si="45"/>
        <v>5</v>
      </c>
      <c r="AL34" s="184">
        <f t="shared" si="46"/>
        <v>0</v>
      </c>
      <c r="AM34" s="185">
        <f t="shared" si="47"/>
        <v>1</v>
      </c>
      <c r="AN34" s="186">
        <f t="shared" si="48"/>
        <v>23</v>
      </c>
      <c r="AO34" s="187">
        <f t="shared" si="51"/>
        <v>23</v>
      </c>
      <c r="AP34" s="188">
        <f t="shared" si="52"/>
        <v>2</v>
      </c>
      <c r="AQ34" s="189">
        <f t="shared" si="49"/>
        <v>162323</v>
      </c>
      <c r="AR34" s="272">
        <f t="shared" si="12"/>
        <v>4</v>
      </c>
      <c r="AS34" s="234">
        <f t="shared" si="53"/>
        <v>2.6666666666666665</v>
      </c>
      <c r="AT34" s="235">
        <f t="shared" si="54"/>
        <v>3.8333333333333335</v>
      </c>
      <c r="AU34" s="235">
        <f t="shared" si="55"/>
        <v>3.8333333333333335</v>
      </c>
      <c r="AV34" s="189">
        <f t="shared" si="56"/>
        <v>27053.833333333328</v>
      </c>
    </row>
    <row r="35" spans="1:48" ht="25.5" customHeight="1" x14ac:dyDescent="0.4">
      <c r="A35" s="190">
        <v>8</v>
      </c>
      <c r="B35" s="226">
        <f>VLOOKUP(A35,U10組合せ!B$10:I$17,7,TRUE)</f>
        <v>0</v>
      </c>
      <c r="C35" s="191" t="str">
        <f t="shared" si="50"/>
        <v/>
      </c>
      <c r="D35" s="208" t="str">
        <f>IF(AH28="","",AH28)</f>
        <v/>
      </c>
      <c r="E35" s="209" t="s">
        <v>209</v>
      </c>
      <c r="F35" s="210" t="str">
        <f>IF(AF28="","",AF28)</f>
        <v/>
      </c>
      <c r="G35" s="173" t="str">
        <f t="shared" si="57"/>
        <v/>
      </c>
      <c r="H35" s="208" t="str">
        <f>IF(AH29="","",AH29)</f>
        <v/>
      </c>
      <c r="I35" s="209" t="s">
        <v>209</v>
      </c>
      <c r="J35" s="210" t="str">
        <f>IF(AF29="","",AF29)</f>
        <v/>
      </c>
      <c r="K35" s="173" t="str">
        <f t="shared" si="58"/>
        <v/>
      </c>
      <c r="L35" s="212" t="str">
        <f>IF(AH30="","",AH30)</f>
        <v/>
      </c>
      <c r="M35" s="200" t="s">
        <v>209</v>
      </c>
      <c r="N35" s="212" t="str">
        <f>IF(AF30="","",AF30)</f>
        <v/>
      </c>
      <c r="O35" s="173" t="str">
        <f t="shared" si="59"/>
        <v/>
      </c>
      <c r="P35" s="212" t="str">
        <f>IF(AH31="","",AH31)</f>
        <v/>
      </c>
      <c r="Q35" s="200" t="s">
        <v>209</v>
      </c>
      <c r="R35" s="213" t="str">
        <f>IF(AF31="","",AF31)</f>
        <v/>
      </c>
      <c r="S35" s="173" t="str">
        <f>IF(T35="","",(IF(T35-V35&gt;0,"○",IF(T35-V35&lt;0,"●","△"))))</f>
        <v/>
      </c>
      <c r="T35" s="212" t="str">
        <f>IF(AH32="","",AH32)</f>
        <v/>
      </c>
      <c r="U35" s="200" t="s">
        <v>209</v>
      </c>
      <c r="V35" s="213" t="str">
        <f>IF(AF32="","",AF32)</f>
        <v/>
      </c>
      <c r="W35" s="173" t="str">
        <f>IF(X35="","",(IF(X35-Z35&gt;0,"○",IF(X35-Z35&lt;0,"●","△"))))</f>
        <v/>
      </c>
      <c r="X35" s="212" t="str">
        <f>IF(AH33="","",AH33)</f>
        <v/>
      </c>
      <c r="Y35" s="200" t="s">
        <v>209</v>
      </c>
      <c r="Z35" s="213" t="str">
        <f>IF(AF33="","",AF33)</f>
        <v/>
      </c>
      <c r="AA35" s="173" t="str">
        <f>IF(AB35="","",(IF(AB35-AD35&gt;0,"○",IF(AB35-AD35&lt;0,"●","△"))))</f>
        <v/>
      </c>
      <c r="AB35" s="212" t="str">
        <f>IF(AH34="","",AH34)</f>
        <v/>
      </c>
      <c r="AC35" s="200" t="s">
        <v>209</v>
      </c>
      <c r="AD35" s="213" t="str">
        <f>IF(AF34="","",AF34)</f>
        <v/>
      </c>
      <c r="AE35" s="530"/>
      <c r="AF35" s="531"/>
      <c r="AG35" s="531"/>
      <c r="AH35" s="533"/>
      <c r="AI35" s="183"/>
      <c r="AJ35" s="184"/>
      <c r="AK35" s="184"/>
      <c r="AL35" s="184"/>
      <c r="AM35" s="185"/>
      <c r="AN35" s="186"/>
      <c r="AO35" s="187"/>
      <c r="AP35" s="188"/>
      <c r="AQ35" s="189"/>
      <c r="AR35" s="272"/>
      <c r="AS35" s="234"/>
      <c r="AT35" s="235"/>
      <c r="AU35" s="235"/>
      <c r="AV35" s="189"/>
    </row>
    <row r="36" spans="1:48" ht="21" customHeight="1" thickBot="1" x14ac:dyDescent="0.45">
      <c r="AQ36" s="223"/>
      <c r="AR36" s="273"/>
    </row>
    <row r="37" spans="1:48" x14ac:dyDescent="0.4">
      <c r="B37" s="224"/>
      <c r="C37" s="225"/>
      <c r="L37" s="225"/>
      <c r="M37" s="225"/>
      <c r="N37" s="225"/>
      <c r="O37" s="225"/>
    </row>
    <row r="38" spans="1:48" x14ac:dyDescent="0.4">
      <c r="B38" s="224"/>
      <c r="C38" s="225"/>
      <c r="E38" s="534"/>
      <c r="F38" s="534"/>
      <c r="G38" s="534"/>
      <c r="H38" s="534"/>
      <c r="I38" s="534"/>
      <c r="J38" s="534"/>
      <c r="L38" s="225"/>
      <c r="M38" s="225"/>
      <c r="N38" s="225"/>
      <c r="O38" s="225"/>
    </row>
    <row r="39" spans="1:48" x14ac:dyDescent="0.4">
      <c r="B39" s="224"/>
      <c r="C39" s="225"/>
      <c r="L39" s="225"/>
      <c r="M39" s="225"/>
      <c r="N39" s="225"/>
      <c r="O39" s="225"/>
    </row>
    <row r="40" spans="1:48" x14ac:dyDescent="0.4">
      <c r="L40" s="225"/>
      <c r="M40" s="225"/>
      <c r="N40" s="225"/>
      <c r="O40" s="225"/>
    </row>
  </sheetData>
  <sheetProtection selectLockedCells="1"/>
  <mergeCells count="49">
    <mergeCell ref="E38:J38"/>
    <mergeCell ref="K30:N30"/>
    <mergeCell ref="O31:R31"/>
    <mergeCell ref="S32:V32"/>
    <mergeCell ref="W33:Z33"/>
    <mergeCell ref="AA34:AD34"/>
    <mergeCell ref="AE35:AH35"/>
    <mergeCell ref="AA27:AD27"/>
    <mergeCell ref="AE27:AH27"/>
    <mergeCell ref="C28:F28"/>
    <mergeCell ref="G29:J29"/>
    <mergeCell ref="C27:F27"/>
    <mergeCell ref="G27:J27"/>
    <mergeCell ref="K27:N27"/>
    <mergeCell ref="O27:R27"/>
    <mergeCell ref="S27:V27"/>
    <mergeCell ref="W27:Z27"/>
    <mergeCell ref="S20:V20"/>
    <mergeCell ref="W21:Z21"/>
    <mergeCell ref="AA22:AD22"/>
    <mergeCell ref="AE23:AH23"/>
    <mergeCell ref="C16:F16"/>
    <mergeCell ref="G17:J17"/>
    <mergeCell ref="K18:N18"/>
    <mergeCell ref="O19:R19"/>
    <mergeCell ref="C15:F15"/>
    <mergeCell ref="G15:J15"/>
    <mergeCell ref="K15:N15"/>
    <mergeCell ref="O15:R15"/>
    <mergeCell ref="S15:V15"/>
    <mergeCell ref="W15:Z15"/>
    <mergeCell ref="AA15:AD15"/>
    <mergeCell ref="AE15:AH15"/>
    <mergeCell ref="K6:N6"/>
    <mergeCell ref="O7:R7"/>
    <mergeCell ref="S8:V8"/>
    <mergeCell ref="W9:Z9"/>
    <mergeCell ref="AA10:AD10"/>
    <mergeCell ref="AE11:AH11"/>
    <mergeCell ref="AA3:AD3"/>
    <mergeCell ref="AE3:AH3"/>
    <mergeCell ref="C4:F4"/>
    <mergeCell ref="G5:J5"/>
    <mergeCell ref="C3:F3"/>
    <mergeCell ref="G3:J3"/>
    <mergeCell ref="K3:N3"/>
    <mergeCell ref="O3:R3"/>
    <mergeCell ref="S3:V3"/>
    <mergeCell ref="W3:Z3"/>
  </mergeCells>
  <phoneticPr fontId="16"/>
  <pageMargins left="0.39370078740157483" right="0.11811023622047245" top="0.74803149606299213" bottom="0.98425196850393704" header="0.51181102362204722" footer="0.51181102362204722"/>
  <pageSetup paperSize="9" scale="70"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"/>
  <sheetViews>
    <sheetView workbookViewId="0">
      <selection activeCell="G19" sqref="G19"/>
    </sheetView>
  </sheetViews>
  <sheetFormatPr defaultColWidth="9" defaultRowHeight="18.75" x14ac:dyDescent="0.4"/>
  <sheetData/>
  <phoneticPr fontId="16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Y65"/>
  <sheetViews>
    <sheetView workbookViewId="0">
      <selection activeCell="N22" sqref="N22"/>
    </sheetView>
  </sheetViews>
  <sheetFormatPr defaultRowHeight="18.75" x14ac:dyDescent="0.4"/>
  <cols>
    <col min="1" max="3" width="4.75" style="43" customWidth="1"/>
    <col min="4" max="8" width="6.25" style="43" customWidth="1"/>
    <col min="9" max="22" width="6.25" customWidth="1"/>
    <col min="23" max="23" width="3.875" customWidth="1"/>
  </cols>
  <sheetData>
    <row r="1" spans="1:25" x14ac:dyDescent="0.4">
      <c r="A1" s="246"/>
      <c r="B1" s="246"/>
      <c r="C1" s="246"/>
      <c r="D1" s="246"/>
      <c r="E1" s="246"/>
      <c r="F1" s="246"/>
      <c r="G1" s="246"/>
      <c r="H1" s="246"/>
    </row>
    <row r="2" spans="1:25" x14ac:dyDescent="0.4">
      <c r="A2" s="106"/>
      <c r="B2" s="106"/>
      <c r="C2" s="106"/>
      <c r="D2" s="102"/>
      <c r="E2" s="231">
        <v>1</v>
      </c>
      <c r="F2" s="231">
        <v>2</v>
      </c>
      <c r="G2" s="231">
        <v>3</v>
      </c>
      <c r="H2" s="231">
        <v>4</v>
      </c>
      <c r="I2" s="231">
        <v>5</v>
      </c>
      <c r="J2" s="231">
        <v>6</v>
      </c>
      <c r="K2" s="231">
        <v>7</v>
      </c>
      <c r="L2" s="231">
        <v>8</v>
      </c>
      <c r="M2" t="s">
        <v>253</v>
      </c>
      <c r="N2" s="106"/>
      <c r="O2" s="98"/>
      <c r="P2" s="99">
        <v>1</v>
      </c>
      <c r="Q2" s="99">
        <v>2</v>
      </c>
      <c r="R2" s="99">
        <v>3</v>
      </c>
      <c r="S2" s="99">
        <v>4</v>
      </c>
      <c r="T2" s="99">
        <v>5</v>
      </c>
      <c r="U2" s="99">
        <v>6</v>
      </c>
      <c r="V2" s="99">
        <v>7</v>
      </c>
    </row>
    <row r="3" spans="1:25" x14ac:dyDescent="0.4">
      <c r="A3" s="106"/>
      <c r="B3" s="106"/>
      <c r="C3" s="106"/>
      <c r="D3" s="231">
        <v>1</v>
      </c>
      <c r="E3" s="104"/>
      <c r="F3" s="102" t="s">
        <v>211</v>
      </c>
      <c r="G3" s="102" t="s">
        <v>213</v>
      </c>
      <c r="H3" s="102" t="s">
        <v>211</v>
      </c>
      <c r="I3" s="232" t="s">
        <v>213</v>
      </c>
      <c r="J3" s="102" t="s">
        <v>217</v>
      </c>
      <c r="K3" s="105" t="s">
        <v>215</v>
      </c>
      <c r="L3" s="105" t="s">
        <v>215</v>
      </c>
      <c r="M3" s="263">
        <f>COUNTA(E3:L3)</f>
        <v>7</v>
      </c>
      <c r="N3" s="106"/>
      <c r="O3" s="99">
        <v>1</v>
      </c>
      <c r="P3" s="104"/>
      <c r="Q3" s="102">
        <v>1</v>
      </c>
      <c r="R3" s="105">
        <v>2</v>
      </c>
      <c r="S3" s="102">
        <v>1</v>
      </c>
      <c r="T3" s="102">
        <v>3</v>
      </c>
      <c r="U3" s="102">
        <v>3</v>
      </c>
      <c r="V3" s="105">
        <v>2</v>
      </c>
      <c r="W3" s="106"/>
      <c r="X3" s="106"/>
    </row>
    <row r="4" spans="1:25" x14ac:dyDescent="0.4">
      <c r="A4" s="106"/>
      <c r="B4" s="106"/>
      <c r="C4" s="106"/>
      <c r="D4" s="231">
        <v>2</v>
      </c>
      <c r="E4" s="264" t="str">
        <f>IF(F$3="","",$F$3)</f>
        <v>1a</v>
      </c>
      <c r="F4" s="104"/>
      <c r="G4" s="232" t="s">
        <v>211</v>
      </c>
      <c r="H4" s="232" t="s">
        <v>214</v>
      </c>
      <c r="I4" s="102" t="s">
        <v>217</v>
      </c>
      <c r="J4" s="232" t="s">
        <v>214</v>
      </c>
      <c r="K4" s="105" t="s">
        <v>215</v>
      </c>
      <c r="L4" s="105" t="s">
        <v>215</v>
      </c>
      <c r="M4" s="263">
        <f t="shared" ref="M4:M10" si="0">COUNTA(E4:L4)</f>
        <v>7</v>
      </c>
      <c r="N4" s="106"/>
      <c r="O4" s="99">
        <v>2</v>
      </c>
      <c r="P4" s="102"/>
      <c r="Q4" s="104"/>
      <c r="R4" s="102">
        <v>1</v>
      </c>
      <c r="S4" s="105">
        <v>3</v>
      </c>
      <c r="T4" s="102">
        <v>2</v>
      </c>
      <c r="U4" s="102">
        <v>2</v>
      </c>
      <c r="V4" s="105">
        <v>3</v>
      </c>
      <c r="W4" s="106"/>
      <c r="X4" s="106"/>
      <c r="Y4" s="103"/>
    </row>
    <row r="5" spans="1:25" x14ac:dyDescent="0.4">
      <c r="A5" s="106"/>
      <c r="B5" s="106"/>
      <c r="C5" s="106"/>
      <c r="D5" s="231">
        <v>3</v>
      </c>
      <c r="E5" s="265" t="str">
        <f>IF(G3="","",G3)</f>
        <v>2a</v>
      </c>
      <c r="F5" s="265" t="str">
        <f>IF(G4="","",G4)</f>
        <v>1a</v>
      </c>
      <c r="G5" s="104"/>
      <c r="H5" s="102" t="s">
        <v>211</v>
      </c>
      <c r="I5" s="232" t="s">
        <v>216</v>
      </c>
      <c r="J5" s="232" t="s">
        <v>216</v>
      </c>
      <c r="K5" s="232" t="s">
        <v>218</v>
      </c>
      <c r="L5" s="232" t="s">
        <v>213</v>
      </c>
      <c r="M5" s="263">
        <f t="shared" si="0"/>
        <v>7</v>
      </c>
      <c r="N5" s="106"/>
      <c r="O5" s="99">
        <v>3</v>
      </c>
      <c r="P5" s="105"/>
      <c r="Q5" s="102"/>
      <c r="R5" s="104"/>
      <c r="S5" s="102">
        <v>1</v>
      </c>
      <c r="T5" s="102">
        <v>3</v>
      </c>
      <c r="U5" s="102">
        <v>3</v>
      </c>
      <c r="V5" s="105">
        <v>2</v>
      </c>
      <c r="W5" s="106"/>
      <c r="X5" s="106"/>
    </row>
    <row r="6" spans="1:25" x14ac:dyDescent="0.4">
      <c r="A6" s="106"/>
      <c r="B6" s="106"/>
      <c r="C6" s="106"/>
      <c r="D6" s="231">
        <v>4</v>
      </c>
      <c r="E6" s="264" t="str">
        <f>IF(H3="","",H3)</f>
        <v>1a</v>
      </c>
      <c r="F6" s="264" t="str">
        <f>IF(H4="","",H4)</f>
        <v>2b</v>
      </c>
      <c r="G6" s="264" t="str">
        <f>IF(H5="","",H5)</f>
        <v>1a</v>
      </c>
      <c r="H6" s="104"/>
      <c r="I6" s="232" t="s">
        <v>216</v>
      </c>
      <c r="J6" s="232" t="s">
        <v>216</v>
      </c>
      <c r="K6" s="232" t="s">
        <v>214</v>
      </c>
      <c r="L6" s="232" t="s">
        <v>218</v>
      </c>
      <c r="M6" s="263">
        <f t="shared" si="0"/>
        <v>7</v>
      </c>
      <c r="N6" s="106"/>
      <c r="O6" s="99">
        <v>4</v>
      </c>
      <c r="P6" s="102"/>
      <c r="Q6" s="102"/>
      <c r="R6" s="102"/>
      <c r="S6" s="104"/>
      <c r="T6" s="102">
        <v>2</v>
      </c>
      <c r="U6" s="102">
        <v>2</v>
      </c>
      <c r="V6" s="105">
        <v>3</v>
      </c>
      <c r="W6" s="106"/>
      <c r="X6" s="106"/>
    </row>
    <row r="7" spans="1:25" x14ac:dyDescent="0.4">
      <c r="A7" s="106"/>
      <c r="B7" s="106"/>
      <c r="C7" s="106"/>
      <c r="D7" s="231">
        <v>5</v>
      </c>
      <c r="E7" s="265" t="str">
        <f>IF(I3="","",I3)</f>
        <v>2a</v>
      </c>
      <c r="F7" s="265" t="str">
        <f>IF(I4="","",I4)</f>
        <v>4a</v>
      </c>
      <c r="G7" s="265" t="str">
        <f>IF(I5="","",I5)</f>
        <v>3b</v>
      </c>
      <c r="H7" s="265" t="str">
        <f>IF(I6="","",I6)</f>
        <v>3b</v>
      </c>
      <c r="I7" s="104"/>
      <c r="J7" s="105" t="s">
        <v>212</v>
      </c>
      <c r="K7" s="232" t="s">
        <v>212</v>
      </c>
      <c r="L7" s="233" t="s">
        <v>213</v>
      </c>
      <c r="M7" s="263">
        <f t="shared" si="0"/>
        <v>7</v>
      </c>
      <c r="N7" s="106"/>
      <c r="O7" s="99">
        <v>5</v>
      </c>
      <c r="P7" s="102"/>
      <c r="Q7" s="102"/>
      <c r="R7" s="102"/>
      <c r="S7" s="102"/>
      <c r="T7" s="104"/>
      <c r="U7" s="105">
        <v>1</v>
      </c>
      <c r="V7" s="105">
        <v>1</v>
      </c>
      <c r="W7" s="106"/>
      <c r="X7" s="106"/>
    </row>
    <row r="8" spans="1:25" x14ac:dyDescent="0.4">
      <c r="A8" s="106"/>
      <c r="B8" s="106"/>
      <c r="C8" s="106"/>
      <c r="D8" s="231">
        <v>6</v>
      </c>
      <c r="E8" s="264" t="str">
        <f>IF(J3="","",J3)</f>
        <v>4a</v>
      </c>
      <c r="F8" s="264" t="str">
        <f>IF(J4="","",J4)</f>
        <v>2b</v>
      </c>
      <c r="G8" s="264" t="str">
        <f>IF(J5="","",J5)</f>
        <v>3b</v>
      </c>
      <c r="H8" s="264" t="str">
        <f>IF(J6="","",J6)</f>
        <v>3b</v>
      </c>
      <c r="I8" s="264" t="str">
        <f>IF(J7="","",J7)</f>
        <v>1b</v>
      </c>
      <c r="J8" s="104"/>
      <c r="K8" s="232" t="s">
        <v>214</v>
      </c>
      <c r="L8" s="105" t="s">
        <v>212</v>
      </c>
      <c r="M8" s="263">
        <f t="shared" si="0"/>
        <v>7</v>
      </c>
      <c r="N8" s="106"/>
      <c r="O8" s="99">
        <v>6</v>
      </c>
      <c r="P8" s="102"/>
      <c r="Q8" s="102"/>
      <c r="R8" s="102"/>
      <c r="S8" s="102"/>
      <c r="T8" s="102"/>
      <c r="U8" s="104"/>
      <c r="V8" s="105">
        <v>1</v>
      </c>
      <c r="W8" s="106"/>
      <c r="X8" s="106"/>
    </row>
    <row r="9" spans="1:25" x14ac:dyDescent="0.4">
      <c r="A9" s="106"/>
      <c r="B9" s="106"/>
      <c r="C9" s="106"/>
      <c r="D9" s="231">
        <v>7</v>
      </c>
      <c r="E9" s="265" t="str">
        <f>IF(K3="","",K3)</f>
        <v>3a</v>
      </c>
      <c r="F9" s="265" t="str">
        <f>IF(K4="","",K4)</f>
        <v>3a</v>
      </c>
      <c r="G9" s="265" t="str">
        <f>IF(K5="","",K5)</f>
        <v>4b</v>
      </c>
      <c r="H9" s="265" t="str">
        <f>IF(K6="","",K6)</f>
        <v>2b</v>
      </c>
      <c r="I9" s="265" t="str">
        <f>IF(K7="","",K7)</f>
        <v>1b</v>
      </c>
      <c r="J9" s="266" t="str">
        <f>IF(K8="","",K8)</f>
        <v>2b</v>
      </c>
      <c r="K9" s="104"/>
      <c r="L9" s="232" t="s">
        <v>212</v>
      </c>
      <c r="M9" s="263">
        <f t="shared" si="0"/>
        <v>7</v>
      </c>
      <c r="N9" s="106"/>
      <c r="O9" s="99">
        <v>7</v>
      </c>
      <c r="P9" s="102"/>
      <c r="Q9" s="105"/>
      <c r="R9" s="105"/>
      <c r="S9" s="105"/>
      <c r="T9" s="105"/>
      <c r="U9" s="105"/>
      <c r="V9" s="104"/>
      <c r="W9" s="106"/>
      <c r="X9" s="106"/>
    </row>
    <row r="10" spans="1:25" x14ac:dyDescent="0.4">
      <c r="A10" s="106"/>
      <c r="B10" s="106"/>
      <c r="C10" s="106"/>
      <c r="D10" s="231">
        <v>8</v>
      </c>
      <c r="E10" s="264" t="str">
        <f>IF(L3="","",L3)</f>
        <v>3a</v>
      </c>
      <c r="F10" s="264" t="str">
        <f>IF(L4="","",L4)</f>
        <v>3a</v>
      </c>
      <c r="G10" s="264" t="str">
        <f>IF(L5="","",L5)</f>
        <v>2a</v>
      </c>
      <c r="H10" s="264" t="str">
        <f>IF(L6="","",L6)</f>
        <v>4b</v>
      </c>
      <c r="I10" s="264" t="str">
        <f>IF(L7="","",L7)</f>
        <v>2a</v>
      </c>
      <c r="J10" s="264" t="str">
        <f>IF(L8="","",L8)</f>
        <v>1b</v>
      </c>
      <c r="K10" s="264" t="str">
        <f>IF(L9="","",L9)</f>
        <v>1b</v>
      </c>
      <c r="L10" s="104"/>
      <c r="M10" s="263">
        <f t="shared" si="0"/>
        <v>7</v>
      </c>
      <c r="N10" s="106"/>
    </row>
    <row r="11" spans="1:25" x14ac:dyDescent="0.4">
      <c r="A11" s="106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63">
        <f>SUM(M3:M10)</f>
        <v>56</v>
      </c>
      <c r="N11" s="106"/>
    </row>
    <row r="12" spans="1:25" ht="19.5" thickBot="1" x14ac:dyDescent="0.45">
      <c r="A12"/>
      <c r="B12"/>
      <c r="C12"/>
      <c r="E12" s="267"/>
      <c r="F12" s="89"/>
      <c r="G12" s="89"/>
      <c r="I12" s="43"/>
      <c r="J12" s="43"/>
      <c r="K12" s="43"/>
      <c r="L12" s="43"/>
      <c r="V12">
        <v>2457</v>
      </c>
    </row>
    <row r="13" spans="1:25" ht="12" customHeight="1" x14ac:dyDescent="0.4">
      <c r="A13"/>
      <c r="B13"/>
      <c r="C13"/>
      <c r="E13" s="89">
        <v>1</v>
      </c>
      <c r="F13" s="268" t="s">
        <v>41</v>
      </c>
      <c r="G13" s="89">
        <v>3</v>
      </c>
      <c r="I13" s="43"/>
      <c r="J13" s="247" t="s">
        <v>243</v>
      </c>
      <c r="K13" s="248"/>
      <c r="L13" s="43"/>
      <c r="V13">
        <v>136</v>
      </c>
    </row>
    <row r="14" spans="1:25" ht="12" customHeight="1" x14ac:dyDescent="0.4">
      <c r="A14"/>
      <c r="B14"/>
      <c r="C14"/>
      <c r="E14" s="89">
        <v>5</v>
      </c>
      <c r="F14" s="268" t="s">
        <v>41</v>
      </c>
      <c r="G14" s="89">
        <v>8</v>
      </c>
      <c r="I14" s="43"/>
      <c r="J14" s="249"/>
      <c r="K14" s="250"/>
      <c r="L14" s="43"/>
      <c r="P14">
        <v>1</v>
      </c>
      <c r="Q14">
        <v>2</v>
      </c>
      <c r="R14" s="101"/>
      <c r="S14">
        <v>2</v>
      </c>
      <c r="T14">
        <v>6</v>
      </c>
      <c r="V14">
        <v>1</v>
      </c>
      <c r="W14">
        <v>5</v>
      </c>
    </row>
    <row r="15" spans="1:25" ht="12" customHeight="1" x14ac:dyDescent="0.4">
      <c r="A15"/>
      <c r="B15"/>
      <c r="C15" t="str">
        <f>U10組合せ!D19</f>
        <v>１節</v>
      </c>
      <c r="E15" s="89">
        <v>1</v>
      </c>
      <c r="F15" s="268" t="s">
        <v>41</v>
      </c>
      <c r="G15" s="89">
        <v>5</v>
      </c>
      <c r="H15" s="246"/>
      <c r="I15" s="43"/>
      <c r="J15" s="251" t="str">
        <f>C15</f>
        <v>１節</v>
      </c>
      <c r="K15" s="252"/>
      <c r="L15" s="43"/>
      <c r="P15">
        <v>3</v>
      </c>
      <c r="Q15">
        <v>4</v>
      </c>
      <c r="S15">
        <v>4</v>
      </c>
      <c r="T15">
        <v>5</v>
      </c>
      <c r="V15">
        <v>3</v>
      </c>
      <c r="W15">
        <v>6</v>
      </c>
    </row>
    <row r="16" spans="1:25" ht="12" customHeight="1" x14ac:dyDescent="0.4">
      <c r="A16"/>
      <c r="B16"/>
      <c r="C16"/>
      <c r="E16" s="89">
        <v>3</v>
      </c>
      <c r="F16" s="268" t="s">
        <v>41</v>
      </c>
      <c r="G16" s="89">
        <v>8</v>
      </c>
      <c r="H16" s="246"/>
      <c r="I16" s="43"/>
      <c r="J16" s="253" t="s">
        <v>211</v>
      </c>
      <c r="K16" s="254">
        <f>COUNTIFS($E$3:$L$10,J16)/2</f>
        <v>4</v>
      </c>
      <c r="L16" s="43"/>
      <c r="P16">
        <v>1</v>
      </c>
      <c r="Q16">
        <v>4</v>
      </c>
      <c r="S16">
        <v>2</v>
      </c>
      <c r="T16">
        <v>5</v>
      </c>
      <c r="V16">
        <v>3</v>
      </c>
      <c r="W16">
        <v>5</v>
      </c>
    </row>
    <row r="17" spans="1:23" ht="12" customHeight="1" x14ac:dyDescent="0.4">
      <c r="A17"/>
      <c r="B17"/>
      <c r="C17"/>
      <c r="E17" s="89">
        <v>2</v>
      </c>
      <c r="F17" s="89" t="s">
        <v>18</v>
      </c>
      <c r="G17" s="89">
        <v>4</v>
      </c>
      <c r="H17" s="246"/>
      <c r="I17" s="43"/>
      <c r="J17" s="255" t="s">
        <v>212</v>
      </c>
      <c r="K17" s="254">
        <f t="shared" ref="K17:K18" si="1">COUNTIFS($E$3:$L$10,J17)/2</f>
        <v>4</v>
      </c>
      <c r="L17" s="43"/>
      <c r="P17">
        <v>2</v>
      </c>
      <c r="Q17">
        <v>3</v>
      </c>
      <c r="S17">
        <v>4</v>
      </c>
      <c r="T17">
        <v>6</v>
      </c>
      <c r="V17">
        <v>1</v>
      </c>
      <c r="W17">
        <v>6</v>
      </c>
    </row>
    <row r="18" spans="1:23" ht="12" customHeight="1" x14ac:dyDescent="0.4">
      <c r="A18"/>
      <c r="B18"/>
      <c r="C18"/>
      <c r="E18" s="43">
        <v>6</v>
      </c>
      <c r="G18" s="43">
        <v>7</v>
      </c>
      <c r="H18" s="246"/>
      <c r="I18" s="43"/>
      <c r="J18" s="256" t="s">
        <v>244</v>
      </c>
      <c r="K18" s="257">
        <f t="shared" si="1"/>
        <v>0</v>
      </c>
      <c r="L18" s="43"/>
    </row>
    <row r="19" spans="1:23" ht="12" customHeight="1" x14ac:dyDescent="0.4">
      <c r="A19"/>
      <c r="B19"/>
      <c r="C19"/>
      <c r="E19" s="43">
        <v>2</v>
      </c>
      <c r="F19" s="43" t="s">
        <v>18</v>
      </c>
      <c r="G19" s="43">
        <v>6</v>
      </c>
      <c r="H19" s="246"/>
      <c r="I19" s="43"/>
      <c r="J19" s="249" t="s">
        <v>245</v>
      </c>
      <c r="K19" s="250">
        <f>SUM(K16:K18)</f>
        <v>8</v>
      </c>
      <c r="L19" s="43"/>
      <c r="P19" s="100">
        <v>5</v>
      </c>
      <c r="Q19">
        <v>6</v>
      </c>
      <c r="S19">
        <v>1</v>
      </c>
      <c r="T19">
        <v>3</v>
      </c>
      <c r="V19">
        <v>4</v>
      </c>
      <c r="W19">
        <v>7</v>
      </c>
    </row>
    <row r="20" spans="1:23" ht="12" customHeight="1" x14ac:dyDescent="0.4">
      <c r="A20"/>
      <c r="B20"/>
      <c r="C20"/>
      <c r="E20" s="43">
        <v>4</v>
      </c>
      <c r="F20" s="43" t="s">
        <v>18</v>
      </c>
      <c r="G20" s="43">
        <v>7</v>
      </c>
      <c r="H20" s="246"/>
      <c r="I20" s="43"/>
      <c r="J20" s="249"/>
      <c r="K20" s="250"/>
      <c r="L20" s="43"/>
      <c r="P20" s="100">
        <v>6</v>
      </c>
      <c r="Q20">
        <v>7</v>
      </c>
      <c r="S20">
        <v>3</v>
      </c>
      <c r="T20">
        <v>7</v>
      </c>
      <c r="V20">
        <v>2</v>
      </c>
      <c r="W20">
        <v>4</v>
      </c>
    </row>
    <row r="21" spans="1:23" ht="12" customHeight="1" x14ac:dyDescent="0.4">
      <c r="A21"/>
      <c r="B21"/>
      <c r="C21" t="str">
        <f>U10組合せ!D25</f>
        <v>２節</v>
      </c>
      <c r="H21" s="246"/>
      <c r="I21" s="43"/>
      <c r="J21" s="251" t="str">
        <f>C21</f>
        <v>２節</v>
      </c>
      <c r="K21" s="252"/>
      <c r="L21" s="43"/>
      <c r="P21" s="100">
        <v>5</v>
      </c>
      <c r="Q21">
        <v>7</v>
      </c>
      <c r="S21">
        <v>1</v>
      </c>
      <c r="T21">
        <v>7</v>
      </c>
      <c r="V21">
        <v>2</v>
      </c>
      <c r="W21">
        <v>7</v>
      </c>
    </row>
    <row r="22" spans="1:23" ht="12" customHeight="1" x14ac:dyDescent="0.4">
      <c r="A22"/>
      <c r="B22"/>
      <c r="C22">
        <f>U10組合せ!D26</f>
        <v>0</v>
      </c>
      <c r="H22" s="246"/>
      <c r="I22" s="43"/>
      <c r="J22" s="253" t="s">
        <v>213</v>
      </c>
      <c r="K22" s="254">
        <f>COUNTIFS($E$3:$L$10,J22)/2</f>
        <v>4</v>
      </c>
      <c r="L22" s="43"/>
    </row>
    <row r="23" spans="1:23" ht="12" customHeight="1" x14ac:dyDescent="0.4">
      <c r="A23"/>
      <c r="B23"/>
      <c r="C23">
        <f>U10組合せ!D27</f>
        <v>0</v>
      </c>
      <c r="H23" s="246"/>
      <c r="I23" s="43"/>
      <c r="J23" s="255" t="s">
        <v>214</v>
      </c>
      <c r="K23" s="254">
        <f t="shared" ref="K23:K24" si="2">COUNTIFS($E$3:$L$10,J23)/2</f>
        <v>4</v>
      </c>
      <c r="L23" s="43"/>
    </row>
    <row r="24" spans="1:23" ht="12" customHeight="1" x14ac:dyDescent="0.4">
      <c r="A24"/>
      <c r="B24"/>
      <c r="C24">
        <f>U10組合せ!D28</f>
        <v>0</v>
      </c>
      <c r="E24" s="43" t="s">
        <v>74</v>
      </c>
      <c r="H24" s="246"/>
      <c r="I24" s="43"/>
      <c r="J24" s="256" t="s">
        <v>246</v>
      </c>
      <c r="K24" s="257">
        <f t="shared" si="2"/>
        <v>0</v>
      </c>
      <c r="L24" s="43"/>
    </row>
    <row r="25" spans="1:23" ht="12" customHeight="1" x14ac:dyDescent="0.4">
      <c r="A25"/>
      <c r="B25"/>
      <c r="C25">
        <f>U10組合せ!D29</f>
        <v>0</v>
      </c>
      <c r="H25" s="246"/>
      <c r="I25" s="43"/>
      <c r="J25" s="249" t="s">
        <v>245</v>
      </c>
      <c r="K25" s="250">
        <f>SUM(K22:K24)</f>
        <v>8</v>
      </c>
      <c r="L25" s="43"/>
    </row>
    <row r="26" spans="1:23" ht="12" customHeight="1" x14ac:dyDescent="0.4">
      <c r="A26"/>
      <c r="B26"/>
      <c r="C26">
        <f>U10組合せ!D30</f>
        <v>0</v>
      </c>
      <c r="H26" s="246"/>
      <c r="I26" s="43"/>
      <c r="J26" s="249"/>
      <c r="K26" s="250"/>
      <c r="L26" s="43"/>
    </row>
    <row r="27" spans="1:23" ht="12" customHeight="1" x14ac:dyDescent="0.4">
      <c r="A27"/>
      <c r="B27"/>
      <c r="C27" t="str">
        <f>U10組合せ!D31</f>
        <v>３節</v>
      </c>
      <c r="E27" s="43">
        <v>1</v>
      </c>
      <c r="F27" s="43" t="s">
        <v>18</v>
      </c>
      <c r="G27" s="43">
        <v>7</v>
      </c>
      <c r="H27" s="246"/>
      <c r="I27" s="43"/>
      <c r="J27" s="251" t="str">
        <f>C27</f>
        <v>３節</v>
      </c>
      <c r="K27" s="252"/>
      <c r="L27" s="43"/>
    </row>
    <row r="28" spans="1:23" ht="12" customHeight="1" x14ac:dyDescent="0.4">
      <c r="A28"/>
      <c r="B28"/>
      <c r="C28">
        <f>U10組合せ!D32</f>
        <v>0</v>
      </c>
      <c r="E28" s="43">
        <v>8</v>
      </c>
      <c r="G28" s="43">
        <v>2</v>
      </c>
      <c r="H28" s="246"/>
      <c r="I28" s="43"/>
      <c r="J28" s="253" t="s">
        <v>215</v>
      </c>
      <c r="K28" s="254">
        <f>COUNTIFS($E$3:$L$10,J28)/2</f>
        <v>4</v>
      </c>
      <c r="L28" s="43"/>
    </row>
    <row r="29" spans="1:23" ht="12" customHeight="1" x14ac:dyDescent="0.4">
      <c r="A29"/>
      <c r="B29"/>
      <c r="C29">
        <f>U10組合せ!D33</f>
        <v>0</v>
      </c>
      <c r="E29" s="43">
        <v>2</v>
      </c>
      <c r="F29" s="43" t="s">
        <v>18</v>
      </c>
      <c r="G29" s="43">
        <v>7</v>
      </c>
      <c r="H29" s="246"/>
      <c r="I29" s="43"/>
      <c r="J29" s="255" t="s">
        <v>216</v>
      </c>
      <c r="K29" s="254">
        <f t="shared" ref="K29:K30" si="3">COUNTIFS($E$3:$L$10,J29)/2</f>
        <v>4</v>
      </c>
      <c r="L29" s="43"/>
    </row>
    <row r="30" spans="1:23" ht="12" customHeight="1" x14ac:dyDescent="0.4">
      <c r="A30"/>
      <c r="B30"/>
      <c r="C30">
        <f>U10組合せ!D34</f>
        <v>0</v>
      </c>
      <c r="E30" s="43">
        <v>1</v>
      </c>
      <c r="F30" s="43" t="s">
        <v>18</v>
      </c>
      <c r="G30" s="43">
        <v>8</v>
      </c>
      <c r="H30" s="246"/>
      <c r="I30" s="43"/>
      <c r="J30" s="256" t="s">
        <v>247</v>
      </c>
      <c r="K30" s="257">
        <f t="shared" si="3"/>
        <v>0</v>
      </c>
      <c r="L30" s="43"/>
    </row>
    <row r="31" spans="1:23" ht="12" customHeight="1" x14ac:dyDescent="0.4">
      <c r="A31"/>
      <c r="B31"/>
      <c r="C31">
        <f>U10組合せ!D35</f>
        <v>0</v>
      </c>
      <c r="H31" s="246"/>
      <c r="I31" s="43"/>
      <c r="J31" s="249" t="s">
        <v>245</v>
      </c>
      <c r="K31" s="250">
        <f>SUM(K28:K30)</f>
        <v>8</v>
      </c>
      <c r="L31" s="43"/>
    </row>
    <row r="32" spans="1:23" ht="12" customHeight="1" x14ac:dyDescent="0.4">
      <c r="A32"/>
      <c r="B32"/>
      <c r="C32">
        <f>U10組合せ!D36</f>
        <v>0</v>
      </c>
      <c r="E32" s="43" t="s">
        <v>76</v>
      </c>
      <c r="I32" s="43"/>
      <c r="J32" s="249"/>
      <c r="K32" s="250"/>
      <c r="L32" s="43"/>
    </row>
    <row r="33" spans="1:12" ht="12" customHeight="1" x14ac:dyDescent="0.4">
      <c r="A33"/>
      <c r="B33"/>
      <c r="C33" t="str">
        <f>U10組合せ!D37</f>
        <v>４節</v>
      </c>
      <c r="I33" s="43"/>
      <c r="J33" s="251" t="str">
        <f>C33</f>
        <v>４節</v>
      </c>
      <c r="K33" s="252"/>
      <c r="L33" s="43"/>
    </row>
    <row r="34" spans="1:12" ht="12" customHeight="1" x14ac:dyDescent="0.4">
      <c r="A34"/>
      <c r="B34"/>
      <c r="C34">
        <f>U10組合せ!D38</f>
        <v>0</v>
      </c>
      <c r="I34" s="43"/>
      <c r="J34" s="253" t="s">
        <v>217</v>
      </c>
      <c r="K34" s="254">
        <f>COUNTIFS($E$3:$L$10,J34)/2</f>
        <v>2</v>
      </c>
      <c r="L34" s="43"/>
    </row>
    <row r="35" spans="1:12" ht="12" customHeight="1" x14ac:dyDescent="0.4">
      <c r="A35"/>
      <c r="B35"/>
      <c r="C35">
        <f>U10組合せ!D39</f>
        <v>0</v>
      </c>
      <c r="E35" s="43">
        <v>1</v>
      </c>
      <c r="F35" s="43" t="s">
        <v>18</v>
      </c>
      <c r="G35" s="43">
        <v>6</v>
      </c>
      <c r="H35" s="43" t="s">
        <v>108</v>
      </c>
      <c r="I35" s="43"/>
      <c r="J35" s="255" t="s">
        <v>218</v>
      </c>
      <c r="K35" s="254">
        <f t="shared" ref="K35:K36" si="4">COUNTIFS($E$3:$L$10,J35)/2</f>
        <v>2</v>
      </c>
      <c r="L35" s="43"/>
    </row>
    <row r="36" spans="1:12" ht="12" customHeight="1" x14ac:dyDescent="0.4">
      <c r="A36"/>
      <c r="B36"/>
      <c r="C36">
        <f>U10組合せ!D40</f>
        <v>0</v>
      </c>
      <c r="E36" s="43">
        <v>2</v>
      </c>
      <c r="F36" s="43" t="s">
        <v>18</v>
      </c>
      <c r="G36" s="43">
        <v>5</v>
      </c>
      <c r="H36" s="43" t="s">
        <v>110</v>
      </c>
      <c r="I36" s="43"/>
      <c r="J36" s="256" t="s">
        <v>248</v>
      </c>
      <c r="K36" s="257">
        <f t="shared" si="4"/>
        <v>0</v>
      </c>
      <c r="L36" s="43"/>
    </row>
    <row r="37" spans="1:12" ht="12" customHeight="1" x14ac:dyDescent="0.4">
      <c r="A37"/>
      <c r="B37"/>
      <c r="C37">
        <f>U10組合せ!D41</f>
        <v>0</v>
      </c>
      <c r="I37" s="43"/>
      <c r="J37" s="249" t="s">
        <v>245</v>
      </c>
      <c r="K37" s="250">
        <f>SUM(K34:K36)</f>
        <v>4</v>
      </c>
      <c r="L37" s="43"/>
    </row>
    <row r="38" spans="1:12" ht="12" customHeight="1" x14ac:dyDescent="0.4">
      <c r="A38"/>
      <c r="B38"/>
      <c r="C38">
        <f>U10組合せ!D42</f>
        <v>0</v>
      </c>
      <c r="I38" s="43"/>
      <c r="J38" s="251">
        <f>C38</f>
        <v>0</v>
      </c>
      <c r="K38" s="258"/>
      <c r="L38" s="43"/>
    </row>
    <row r="39" spans="1:12" ht="12" customHeight="1" x14ac:dyDescent="0.4">
      <c r="A39"/>
      <c r="B39"/>
      <c r="C39" t="str">
        <f>U10組合せ!D43</f>
        <v>予
備
日</v>
      </c>
      <c r="I39" s="43"/>
      <c r="J39" s="253" t="s">
        <v>249</v>
      </c>
      <c r="K39" s="254">
        <f>COUNTIFS($E$3:$L$10,J39)/2</f>
        <v>0</v>
      </c>
      <c r="L39" s="43"/>
    </row>
    <row r="40" spans="1:12" ht="12" customHeight="1" x14ac:dyDescent="0.4">
      <c r="A40"/>
      <c r="B40"/>
      <c r="C40">
        <f>U10組合せ!D44</f>
        <v>0</v>
      </c>
      <c r="H40" s="43">
        <v>44387</v>
      </c>
      <c r="I40" s="43"/>
      <c r="J40" s="255" t="s">
        <v>250</v>
      </c>
      <c r="K40" s="254">
        <f t="shared" ref="K40:K41" si="5">COUNTIFS($E$3:$L$10,J40)/2</f>
        <v>0</v>
      </c>
      <c r="L40" s="43"/>
    </row>
    <row r="41" spans="1:12" ht="12" customHeight="1" x14ac:dyDescent="0.4">
      <c r="A41"/>
      <c r="B41"/>
      <c r="C41"/>
      <c r="I41" s="43"/>
      <c r="J41" s="256" t="s">
        <v>251</v>
      </c>
      <c r="K41" s="257">
        <f t="shared" si="5"/>
        <v>0</v>
      </c>
      <c r="L41" s="43"/>
    </row>
    <row r="42" spans="1:12" ht="12" customHeight="1" x14ac:dyDescent="0.4">
      <c r="A42"/>
      <c r="B42"/>
      <c r="C42"/>
      <c r="E42" s="43" t="s">
        <v>78</v>
      </c>
      <c r="I42" s="43"/>
      <c r="J42" s="249" t="s">
        <v>245</v>
      </c>
      <c r="K42" s="250">
        <f>SUM(K39:K41)</f>
        <v>0</v>
      </c>
      <c r="L42" s="43"/>
    </row>
    <row r="43" spans="1:12" ht="12" customHeight="1" thickBot="1" x14ac:dyDescent="0.45">
      <c r="A43"/>
      <c r="B43"/>
      <c r="C43"/>
      <c r="I43" s="43"/>
      <c r="J43" s="259"/>
      <c r="K43" s="260"/>
      <c r="L43" s="43"/>
    </row>
    <row r="44" spans="1:12" ht="12" customHeight="1" thickBot="1" x14ac:dyDescent="0.45">
      <c r="A44"/>
      <c r="B44"/>
      <c r="C44"/>
      <c r="I44" s="43"/>
      <c r="J44" s="261" t="s">
        <v>252</v>
      </c>
      <c r="K44" s="262">
        <f>SUM(K19,K25,K31,K37,K42)</f>
        <v>28</v>
      </c>
      <c r="L44" s="43"/>
    </row>
    <row r="45" spans="1:12" ht="12" customHeight="1" x14ac:dyDescent="0.4">
      <c r="A45"/>
      <c r="B45"/>
      <c r="C45"/>
      <c r="E45" s="43">
        <v>1</v>
      </c>
      <c r="F45" s="43" t="s">
        <v>18</v>
      </c>
      <c r="G45" s="43">
        <v>6</v>
      </c>
      <c r="H45" s="43" t="s">
        <v>113</v>
      </c>
      <c r="I45" s="43"/>
      <c r="J45" s="43"/>
      <c r="K45" s="43"/>
      <c r="L45" s="43"/>
    </row>
    <row r="46" spans="1:12" ht="12" customHeight="1" x14ac:dyDescent="0.4">
      <c r="A46"/>
      <c r="B46"/>
      <c r="C46"/>
      <c r="E46" s="43">
        <v>2</v>
      </c>
      <c r="G46" s="43">
        <v>5</v>
      </c>
      <c r="I46" s="43"/>
      <c r="J46" s="43"/>
      <c r="K46" s="43"/>
      <c r="L46" s="43"/>
    </row>
    <row r="47" spans="1:12" ht="12" customHeight="1" x14ac:dyDescent="0.4">
      <c r="A47"/>
      <c r="B47"/>
      <c r="C47"/>
      <c r="H47" s="43" t="s">
        <v>114</v>
      </c>
      <c r="I47" s="43"/>
      <c r="J47" s="43"/>
      <c r="K47" s="43"/>
      <c r="L47" s="43"/>
    </row>
    <row r="48" spans="1:12" ht="12" customHeight="1" x14ac:dyDescent="0.4">
      <c r="A48"/>
      <c r="B48"/>
      <c r="C48"/>
      <c r="H48" s="43" t="s">
        <v>115</v>
      </c>
      <c r="I48" s="43"/>
      <c r="J48" s="43"/>
      <c r="K48" s="43"/>
      <c r="L48" s="43"/>
    </row>
    <row r="49" spans="1:12" ht="12" customHeight="1" x14ac:dyDescent="0.4">
      <c r="A49"/>
      <c r="B49"/>
      <c r="C49"/>
      <c r="I49" s="43"/>
      <c r="J49" s="43"/>
      <c r="K49" s="43"/>
      <c r="L49" s="43"/>
    </row>
    <row r="50" spans="1:12" ht="12" customHeight="1" x14ac:dyDescent="0.4">
      <c r="A50"/>
      <c r="B50"/>
      <c r="C50"/>
      <c r="E50" s="43" t="s">
        <v>80</v>
      </c>
      <c r="I50" s="43"/>
      <c r="J50" s="43"/>
      <c r="K50" s="43"/>
      <c r="L50" s="43"/>
    </row>
    <row r="51" spans="1:12" ht="12" customHeight="1" x14ac:dyDescent="0.4">
      <c r="A51"/>
      <c r="B51"/>
      <c r="C51"/>
      <c r="I51" s="43"/>
      <c r="J51" s="43"/>
      <c r="K51" s="43"/>
      <c r="L51" s="43"/>
    </row>
    <row r="52" spans="1:12" ht="12" customHeight="1" x14ac:dyDescent="0.4">
      <c r="A52"/>
      <c r="B52"/>
      <c r="C52"/>
      <c r="I52" s="43"/>
      <c r="J52" s="43"/>
      <c r="K52" s="43"/>
      <c r="L52" s="43"/>
    </row>
    <row r="53" spans="1:12" ht="12" customHeight="1" x14ac:dyDescent="0.4">
      <c r="A53"/>
      <c r="B53"/>
      <c r="C53"/>
      <c r="E53" s="43">
        <v>3</v>
      </c>
      <c r="F53" s="43" t="s">
        <v>18</v>
      </c>
      <c r="G53" s="43">
        <v>7</v>
      </c>
      <c r="H53" s="43" t="s">
        <v>116</v>
      </c>
      <c r="I53" s="43"/>
      <c r="J53" s="43"/>
      <c r="K53" s="43"/>
      <c r="L53" s="43"/>
    </row>
    <row r="54" spans="1:12" ht="12" customHeight="1" x14ac:dyDescent="0.4">
      <c r="A54"/>
      <c r="B54"/>
      <c r="C54"/>
      <c r="E54" s="43">
        <v>4</v>
      </c>
      <c r="G54" s="43">
        <v>8</v>
      </c>
      <c r="I54" s="43"/>
      <c r="J54" s="43"/>
      <c r="K54" s="43"/>
      <c r="L54" s="43"/>
    </row>
    <row r="55" spans="1:12" ht="12" customHeight="1" x14ac:dyDescent="0.4">
      <c r="A55"/>
      <c r="B55"/>
      <c r="C55"/>
      <c r="H55" s="43" t="s">
        <v>117</v>
      </c>
      <c r="I55" s="43"/>
      <c r="J55" s="43"/>
      <c r="K55" s="43"/>
      <c r="L55" s="43"/>
    </row>
    <row r="56" spans="1:12" ht="12" customHeight="1" x14ac:dyDescent="0.4">
      <c r="A56"/>
      <c r="B56"/>
      <c r="C56"/>
      <c r="H56" s="43" t="s">
        <v>118</v>
      </c>
      <c r="I56" s="43"/>
      <c r="J56" s="43"/>
      <c r="K56" s="43"/>
      <c r="L56" s="43"/>
    </row>
    <row r="57" spans="1:12" ht="12" customHeight="1" x14ac:dyDescent="0.4">
      <c r="A57"/>
      <c r="B57"/>
      <c r="C57"/>
      <c r="I57" s="43"/>
      <c r="J57" s="43"/>
      <c r="K57" s="43"/>
      <c r="L57" s="43"/>
    </row>
    <row r="58" spans="1:12" ht="12" customHeight="1" x14ac:dyDescent="0.4">
      <c r="A58"/>
      <c r="B58"/>
      <c r="C58"/>
      <c r="I58" s="43"/>
      <c r="J58" s="43"/>
      <c r="K58" s="43"/>
      <c r="L58" s="43"/>
    </row>
    <row r="59" spans="1:12" ht="12" customHeight="1" x14ac:dyDescent="0.4">
      <c r="A59"/>
      <c r="B59"/>
      <c r="C59"/>
      <c r="I59" s="43"/>
      <c r="J59" s="43"/>
      <c r="K59" s="43"/>
      <c r="L59" s="43"/>
    </row>
    <row r="60" spans="1:12" x14ac:dyDescent="0.4">
      <c r="A60"/>
      <c r="B60"/>
      <c r="C60"/>
      <c r="I60" s="43"/>
      <c r="J60" s="43"/>
      <c r="K60" s="43"/>
      <c r="L60" s="43"/>
    </row>
    <row r="61" spans="1:12" x14ac:dyDescent="0.4">
      <c r="A61"/>
      <c r="B61"/>
      <c r="C61"/>
      <c r="I61" s="43"/>
      <c r="J61" s="43"/>
      <c r="K61" s="43"/>
      <c r="L61" s="43"/>
    </row>
    <row r="62" spans="1:12" x14ac:dyDescent="0.4">
      <c r="A62"/>
      <c r="B62"/>
      <c r="C62"/>
      <c r="I62" s="43"/>
      <c r="J62" s="43"/>
      <c r="K62" s="43"/>
      <c r="L62" s="43"/>
    </row>
    <row r="63" spans="1:12" x14ac:dyDescent="0.4">
      <c r="A63"/>
      <c r="B63"/>
      <c r="C63"/>
      <c r="I63" s="43"/>
      <c r="J63" s="43"/>
      <c r="K63" s="43"/>
      <c r="L63" s="43"/>
    </row>
    <row r="64" spans="1:12" x14ac:dyDescent="0.4">
      <c r="A64"/>
      <c r="B64"/>
      <c r="C64"/>
      <c r="I64" s="43"/>
      <c r="J64" s="43"/>
      <c r="K64" s="43"/>
      <c r="L64" s="43"/>
    </row>
    <row r="65" spans="1:12" x14ac:dyDescent="0.4">
      <c r="A65"/>
      <c r="B65"/>
      <c r="C65"/>
      <c r="I65" s="43"/>
      <c r="J65" s="43"/>
      <c r="K65" s="43"/>
      <c r="L65" s="43"/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U10組合せ</vt:lpstr>
      <vt:lpstr>Sheet2</vt:lpstr>
      <vt:lpstr>U10対戦スケジュール</vt:lpstr>
      <vt:lpstr>Ａブロック対戦表</vt:lpstr>
      <vt:lpstr>Bブロック対戦表</vt:lpstr>
      <vt:lpstr>Cブロック対戦表</vt:lpstr>
      <vt:lpstr>Ｕ10リーグ ブロック別星取表</vt:lpstr>
      <vt:lpstr>●</vt:lpstr>
      <vt:lpstr>Sheet3</vt:lpstr>
      <vt:lpstr>U１2順位 </vt:lpstr>
      <vt:lpstr>Ａブロック対戦表!Print_Area</vt:lpstr>
      <vt:lpstr>Bブロック対戦表!Print_Area</vt:lpstr>
      <vt:lpstr>Cブロック対戦表!Print_Area</vt:lpstr>
      <vt:lpstr>U10組合せ!Print_Area</vt:lpstr>
      <vt:lpstr>'U１2順位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Ishige</dc:creator>
  <cp:lastModifiedBy>Ishige</cp:lastModifiedBy>
  <cp:lastPrinted>2021-04-23T15:47:29Z</cp:lastPrinted>
  <dcterms:created xsi:type="dcterms:W3CDTF">2017-04-03T06:48:00Z</dcterms:created>
  <dcterms:modified xsi:type="dcterms:W3CDTF">2021-05-20T02:53:13Z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