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shige\Desktop\’２１_前期リーグ戦関係\"/>
    </mc:Choice>
  </mc:AlternateContent>
  <xr:revisionPtr revIDLastSave="0" documentId="13_ncr:1_{B444B1C7-93A1-4201-B773-3AD46F966838}" xr6:coauthVersionLast="46" xr6:coauthVersionMax="46" xr10:uidLastSave="{00000000-0000-0000-0000-000000000000}"/>
  <bookViews>
    <workbookView xWindow="-120" yWindow="-120" windowWidth="20730" windowHeight="11160" tabRatio="810" xr2:uid="{48386940-0151-4DA1-96BB-10FC5EEF221B}"/>
  </bookViews>
  <sheets>
    <sheet name="U12組合せ" sheetId="14" r:id="rId1"/>
    <sheet name="U12対戦スケジュール" sheetId="16" r:id="rId2"/>
    <sheet name="●" sheetId="3" r:id="rId3"/>
    <sheet name="Ａブロック対戦表" sheetId="4" r:id="rId4"/>
    <sheet name="Bブロック対戦表" sheetId="18" r:id="rId5"/>
    <sheet name="Cブロック対戦表 " sheetId="19" r:id="rId6"/>
    <sheet name="Dブロック対戦表 " sheetId="21" r:id="rId7"/>
    <sheet name="Ｕ１２リーグ ブロック別星取表" sheetId="22" r:id="rId8"/>
  </sheets>
  <definedNames>
    <definedName name="_xlnm.Print_Area" localSheetId="3">Ａブロック対戦表!$A$1:$AQ$468</definedName>
    <definedName name="_xlnm.Print_Area" localSheetId="4">Bブロック対戦表!$A$1:$AQ$370</definedName>
    <definedName name="_xlnm.Print_Area" localSheetId="5">'Cブロック対戦表 '!$A$1:$AQ$414</definedName>
    <definedName name="_xlnm.Print_Area" localSheetId="6">'Dブロック対戦表 '!$A$1:$AQ$382</definedName>
    <definedName name="_xlnm.Print_Area" localSheetId="7">'Ｕ１２リーグ ブロック別星取表'!$A$1:$AZ$56</definedName>
    <definedName name="_xlnm.Print_Area" localSheetId="0">U12組合せ!$B$1:$L$69</definedName>
    <definedName name="_xlnm.Print_Area" localSheetId="1">U12対戦スケジュール!$A$1:$X$121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6" i="16" l="1"/>
  <c r="AG231" i="19" l="1"/>
  <c r="AG230" i="19"/>
  <c r="AG229" i="19"/>
  <c r="AG295" i="19"/>
  <c r="AG294" i="19"/>
  <c r="AG293" i="19"/>
  <c r="AG287" i="18"/>
  <c r="AG286" i="18"/>
  <c r="AG285" i="18"/>
  <c r="AC407" i="4"/>
  <c r="AC438" i="4"/>
  <c r="AG415" i="4"/>
  <c r="T440" i="4"/>
  <c r="T409" i="4"/>
  <c r="AG414" i="4"/>
  <c r="AG413" i="4"/>
  <c r="V423" i="4"/>
  <c r="Q423" i="4"/>
  <c r="Q454" i="4"/>
  <c r="V454" i="4"/>
  <c r="U399" i="19"/>
  <c r="U398" i="19"/>
  <c r="S399" i="19"/>
  <c r="S398" i="19"/>
  <c r="U397" i="19"/>
  <c r="U396" i="19"/>
  <c r="S397" i="19"/>
  <c r="S396" i="19"/>
  <c r="X421" i="4"/>
  <c r="J421" i="4"/>
  <c r="X454" i="4"/>
  <c r="J454" i="4"/>
  <c r="AI454" i="4"/>
  <c r="AI423" i="4"/>
  <c r="AS423" i="4"/>
  <c r="AR423" i="4"/>
  <c r="J423" i="4" l="1"/>
  <c r="X423" i="4"/>
  <c r="AR454" i="4"/>
  <c r="AS454" i="4"/>
  <c r="AG409" i="4" l="1"/>
  <c r="AG191" i="4"/>
  <c r="O93" i="16" l="1"/>
  <c r="AC117" i="16" l="1"/>
  <c r="S119" i="16" s="1"/>
  <c r="S120" i="16" s="1"/>
  <c r="S121" i="16" s="1"/>
  <c r="AC110" i="16"/>
  <c r="S112" i="16" s="1"/>
  <c r="S113" i="16" s="1"/>
  <c r="S114" i="16" s="1"/>
  <c r="AC103" i="16"/>
  <c r="S105" i="16" s="1"/>
  <c r="S106" i="16" s="1"/>
  <c r="S107" i="16" s="1"/>
  <c r="AB110" i="16"/>
  <c r="M112" i="16" s="1"/>
  <c r="M113" i="16" s="1"/>
  <c r="M114" i="16" s="1"/>
  <c r="AA117" i="16"/>
  <c r="G119" i="16" s="1"/>
  <c r="G120" i="16" s="1"/>
  <c r="G121" i="16" s="1"/>
  <c r="AA110" i="16"/>
  <c r="AA103" i="16"/>
  <c r="G105" i="16" s="1"/>
  <c r="G106" i="16" s="1"/>
  <c r="G107" i="16" s="1"/>
  <c r="G112" i="16"/>
  <c r="G113" i="16" s="1"/>
  <c r="G114" i="16" s="1"/>
  <c r="Y33" i="3" l="1"/>
  <c r="Y27" i="3"/>
  <c r="Y21" i="3"/>
  <c r="Y15" i="3"/>
  <c r="AD2" i="3"/>
  <c r="AQ10" i="3"/>
  <c r="AP10" i="3"/>
  <c r="AO10" i="3"/>
  <c r="AN10" i="3"/>
  <c r="AM10" i="3"/>
  <c r="AL10" i="3"/>
  <c r="AK10" i="3"/>
  <c r="AJ10" i="3"/>
  <c r="AP9" i="3"/>
  <c r="AO9" i="3"/>
  <c r="AN9" i="3"/>
  <c r="AM9" i="3"/>
  <c r="AL9" i="3"/>
  <c r="AK9" i="3"/>
  <c r="AJ9" i="3"/>
  <c r="AO8" i="3"/>
  <c r="AN8" i="3"/>
  <c r="AM8" i="3"/>
  <c r="AL8" i="3"/>
  <c r="AK8" i="3"/>
  <c r="AJ8" i="3"/>
  <c r="AN7" i="3"/>
  <c r="AM7" i="3"/>
  <c r="AL7" i="3"/>
  <c r="AK7" i="3"/>
  <c r="AJ7" i="3"/>
  <c r="AM6" i="3"/>
  <c r="AL6" i="3"/>
  <c r="AK6" i="3"/>
  <c r="AJ6" i="3"/>
  <c r="AL5" i="3"/>
  <c r="AK5" i="3"/>
  <c r="AJ5" i="3"/>
  <c r="AK4" i="3"/>
  <c r="AJ4" i="3"/>
  <c r="AJ3" i="3"/>
  <c r="I39" i="3"/>
  <c r="I34" i="3"/>
  <c r="I28" i="3"/>
  <c r="I22" i="3"/>
  <c r="I16" i="3"/>
  <c r="M2" i="3"/>
  <c r="AJ55" i="22" l="1"/>
  <c r="AI55" i="22" s="1"/>
  <c r="AL55" i="22"/>
  <c r="B55" i="22"/>
  <c r="B47" i="22"/>
  <c r="B48" i="22"/>
  <c r="B49" i="22"/>
  <c r="B50" i="22"/>
  <c r="S45" i="22" s="1"/>
  <c r="B51" i="22"/>
  <c r="B52" i="22"/>
  <c r="AA45" i="22" s="1"/>
  <c r="B53" i="22"/>
  <c r="B54" i="22"/>
  <c r="AI45" i="22" s="1"/>
  <c r="B46" i="22"/>
  <c r="C45" i="22" s="1"/>
  <c r="AH55" i="22"/>
  <c r="AF55" i="22"/>
  <c r="AE55" i="22" s="1"/>
  <c r="AD55" i="22"/>
  <c r="AB55" i="22"/>
  <c r="AA55" i="22" s="1"/>
  <c r="Z55" i="22"/>
  <c r="X55" i="22"/>
  <c r="W55" i="22"/>
  <c r="V55" i="22"/>
  <c r="T55" i="22"/>
  <c r="S55" i="22" s="1"/>
  <c r="R55" i="22"/>
  <c r="P55" i="22"/>
  <c r="O55" i="22" s="1"/>
  <c r="N55" i="22"/>
  <c r="L55" i="22"/>
  <c r="K55" i="22" s="1"/>
  <c r="J55" i="22"/>
  <c r="H55" i="22"/>
  <c r="G55" i="22"/>
  <c r="F55" i="22"/>
  <c r="D55" i="22"/>
  <c r="C55" i="22" s="1"/>
  <c r="AE45" i="22"/>
  <c r="W45" i="22"/>
  <c r="O45" i="22"/>
  <c r="AM46" i="22"/>
  <c r="AM45" i="22"/>
  <c r="K45" i="22"/>
  <c r="G45" i="22"/>
  <c r="K40" i="22"/>
  <c r="L40" i="22"/>
  <c r="N40" i="22"/>
  <c r="AM31" i="22"/>
  <c r="B32" i="22"/>
  <c r="B33" i="22"/>
  <c r="B34" i="22"/>
  <c r="O30" i="22" s="1"/>
  <c r="B35" i="22"/>
  <c r="S30" i="22" s="1"/>
  <c r="B36" i="22"/>
  <c r="W30" i="22" s="1"/>
  <c r="B37" i="22"/>
  <c r="B38" i="22"/>
  <c r="AE30" i="22" s="1"/>
  <c r="B39" i="22"/>
  <c r="AI30" i="22" s="1"/>
  <c r="B40" i="22"/>
  <c r="AM30" i="22" s="1"/>
  <c r="B31" i="22"/>
  <c r="C30" i="22" s="1"/>
  <c r="B19" i="22"/>
  <c r="G17" i="22" s="1"/>
  <c r="B20" i="22"/>
  <c r="K17" i="22" s="1"/>
  <c r="B21" i="22"/>
  <c r="O17" i="22" s="1"/>
  <c r="B22" i="22"/>
  <c r="S17" i="22" s="1"/>
  <c r="B23" i="22"/>
  <c r="W17" i="22" s="1"/>
  <c r="B24" i="22"/>
  <c r="AA17" i="22" s="1"/>
  <c r="B25" i="22"/>
  <c r="B26" i="22"/>
  <c r="AI17" i="22" s="1"/>
  <c r="B18" i="22"/>
  <c r="C17" i="22" s="1"/>
  <c r="B27" i="22"/>
  <c r="AM17" i="22" s="1"/>
  <c r="AL40" i="22"/>
  <c r="AJ40" i="22"/>
  <c r="AI40" i="22" s="1"/>
  <c r="AH40" i="22"/>
  <c r="AF40" i="22"/>
  <c r="AE40" i="22" s="1"/>
  <c r="AD40" i="22"/>
  <c r="AB40" i="22"/>
  <c r="AA40" i="22" s="1"/>
  <c r="Z40" i="22"/>
  <c r="X40" i="22"/>
  <c r="W40" i="22" s="1"/>
  <c r="V40" i="22"/>
  <c r="T40" i="22"/>
  <c r="S40" i="22" s="1"/>
  <c r="R40" i="22"/>
  <c r="P40" i="22"/>
  <c r="O40" i="22"/>
  <c r="J40" i="22"/>
  <c r="H40" i="22"/>
  <c r="G40" i="22" s="1"/>
  <c r="D40" i="22"/>
  <c r="G30" i="22"/>
  <c r="AA30" i="22"/>
  <c r="K30" i="22"/>
  <c r="AD27" i="22"/>
  <c r="AB27" i="22"/>
  <c r="AA27" i="22" s="1"/>
  <c r="D27" i="22"/>
  <c r="C27" i="22" s="1"/>
  <c r="F27" i="22"/>
  <c r="H27" i="22"/>
  <c r="G27" i="22" s="1"/>
  <c r="J27" i="22"/>
  <c r="L27" i="22"/>
  <c r="K27" i="22" s="1"/>
  <c r="N27" i="22"/>
  <c r="P27" i="22"/>
  <c r="O27" i="22" s="1"/>
  <c r="R27" i="22"/>
  <c r="T27" i="22"/>
  <c r="S27" i="22" s="1"/>
  <c r="V27" i="22"/>
  <c r="X27" i="22"/>
  <c r="W27" i="22" s="1"/>
  <c r="Z27" i="22"/>
  <c r="AF27" i="22"/>
  <c r="AE27" i="22" s="1"/>
  <c r="AH27" i="22"/>
  <c r="AJ27" i="22"/>
  <c r="AI27" i="22" s="1"/>
  <c r="AL27" i="22"/>
  <c r="AE17" i="22"/>
  <c r="V107" i="4"/>
  <c r="V109" i="4"/>
  <c r="AH8" i="22" s="1"/>
  <c r="F40" i="22" l="1"/>
  <c r="C40" i="22" s="1"/>
  <c r="R4" i="22"/>
  <c r="AK438" i="4" l="1"/>
  <c r="V201" i="4" l="1"/>
  <c r="N5" i="22" s="1"/>
  <c r="H6" i="22" s="1"/>
  <c r="Q201" i="4"/>
  <c r="L5" i="22" s="1"/>
  <c r="V139" i="4"/>
  <c r="Q139" i="4"/>
  <c r="X5" i="22" s="1"/>
  <c r="Q107" i="4"/>
  <c r="V76" i="4"/>
  <c r="AL11" i="22" s="1"/>
  <c r="AF12" i="22" s="1"/>
  <c r="Q76" i="4"/>
  <c r="AJ11" i="22" s="1"/>
  <c r="V45" i="4"/>
  <c r="Z8" i="22" s="1"/>
  <c r="T9" i="22" s="1"/>
  <c r="Q45" i="4"/>
  <c r="X8" i="22" s="1"/>
  <c r="V9" i="22" s="1"/>
  <c r="V13" i="4"/>
  <c r="Q13" i="4"/>
  <c r="B5" i="22"/>
  <c r="B6" i="22"/>
  <c r="K3" i="22" s="1"/>
  <c r="B7" i="22"/>
  <c r="B8" i="22"/>
  <c r="S3" i="22" s="1"/>
  <c r="B9" i="22"/>
  <c r="B10" i="22"/>
  <c r="AA3" i="22" s="1"/>
  <c r="B11" i="22"/>
  <c r="AE3" i="22" s="1"/>
  <c r="B12" i="22"/>
  <c r="AI3" i="22" s="1"/>
  <c r="B13" i="22"/>
  <c r="AM3" i="22" s="1"/>
  <c r="B4" i="22"/>
  <c r="C3" i="22" s="1"/>
  <c r="G3" i="22"/>
  <c r="O3" i="22"/>
  <c r="W3" i="22"/>
  <c r="AR354" i="21"/>
  <c r="AR356" i="21" s="1"/>
  <c r="C355" i="21"/>
  <c r="V368" i="21"/>
  <c r="AB48" i="22" s="1"/>
  <c r="N52" i="22" s="1"/>
  <c r="Q368" i="21"/>
  <c r="AD48" i="22" s="1"/>
  <c r="V366" i="21"/>
  <c r="AB50" i="22" s="1"/>
  <c r="V52" i="22" s="1"/>
  <c r="Q366" i="21"/>
  <c r="AD50" i="22" s="1"/>
  <c r="V364" i="21"/>
  <c r="V48" i="22" s="1"/>
  <c r="L50" i="22" s="1"/>
  <c r="Q364" i="21"/>
  <c r="T48" i="22" s="1"/>
  <c r="T354" i="21"/>
  <c r="U95" i="16" s="1"/>
  <c r="AG354" i="21"/>
  <c r="AM354" i="21"/>
  <c r="AR322" i="21"/>
  <c r="AG322" i="21"/>
  <c r="AM322" i="21" s="1"/>
  <c r="AG290" i="21"/>
  <c r="AM290" i="21" s="1"/>
  <c r="C323" i="21"/>
  <c r="V336" i="21"/>
  <c r="AJ47" i="22" s="1"/>
  <c r="J54" i="22" s="1"/>
  <c r="Q336" i="21"/>
  <c r="AL47" i="22" s="1"/>
  <c r="V334" i="21"/>
  <c r="AJ49" i="22" s="1"/>
  <c r="R54" i="22" s="1"/>
  <c r="Q334" i="21"/>
  <c r="AL49" i="22" s="1"/>
  <c r="V332" i="21"/>
  <c r="R47" i="22" s="1"/>
  <c r="H49" i="22" s="1"/>
  <c r="Q332" i="21"/>
  <c r="P47" i="22" s="1"/>
  <c r="T322" i="21"/>
  <c r="U88" i="16" s="1"/>
  <c r="AR324" i="21"/>
  <c r="AK352" i="21"/>
  <c r="AC352" i="21"/>
  <c r="B352" i="21"/>
  <c r="AK320" i="21"/>
  <c r="AC320" i="21"/>
  <c r="B320" i="21"/>
  <c r="AR290" i="21"/>
  <c r="C291" i="21"/>
  <c r="AK288" i="21"/>
  <c r="V304" i="21"/>
  <c r="AF46" i="22" s="1"/>
  <c r="F53" i="22" s="1"/>
  <c r="Q304" i="21"/>
  <c r="AH46" i="22" s="1"/>
  <c r="V302" i="21"/>
  <c r="AF51" i="22" s="1"/>
  <c r="Z53" i="22" s="1"/>
  <c r="Q302" i="21"/>
  <c r="AH51" i="22" s="1"/>
  <c r="V300" i="21"/>
  <c r="Z46" i="22" s="1"/>
  <c r="D51" i="22" s="1"/>
  <c r="Q300" i="21"/>
  <c r="X46" i="22" s="1"/>
  <c r="AG294" i="21"/>
  <c r="S294" i="21"/>
  <c r="E294" i="21"/>
  <c r="AG293" i="21"/>
  <c r="S293" i="21"/>
  <c r="E293" i="21"/>
  <c r="AR292" i="21"/>
  <c r="AG292" i="21"/>
  <c r="S292" i="21"/>
  <c r="E292" i="21"/>
  <c r="T290" i="21" s="1"/>
  <c r="U81" i="16" s="1"/>
  <c r="AC288" i="21"/>
  <c r="B288" i="21"/>
  <c r="AR258" i="21"/>
  <c r="AR260" i="21" s="1"/>
  <c r="C259" i="21"/>
  <c r="V272" i="21"/>
  <c r="AF48" i="22" s="1"/>
  <c r="N53" i="22" s="1"/>
  <c r="Q272" i="21"/>
  <c r="AH48" i="22" s="1"/>
  <c r="V270" i="21"/>
  <c r="AF49" i="22" s="1"/>
  <c r="R53" i="22" s="1"/>
  <c r="Q270" i="21"/>
  <c r="AH49" i="22" s="1"/>
  <c r="V268" i="21"/>
  <c r="R48" i="22" s="1"/>
  <c r="L49" i="22" s="1"/>
  <c r="Q268" i="21"/>
  <c r="P48" i="22" s="1"/>
  <c r="AG262" i="21"/>
  <c r="S262" i="21"/>
  <c r="E262" i="21"/>
  <c r="AG261" i="21"/>
  <c r="T258" i="21" s="1"/>
  <c r="U72" i="16" s="1"/>
  <c r="S261" i="21"/>
  <c r="E261" i="21"/>
  <c r="AG260" i="21"/>
  <c r="S260" i="21"/>
  <c r="E260" i="21"/>
  <c r="AG258" i="21"/>
  <c r="AM258" i="21"/>
  <c r="AK256" i="21"/>
  <c r="AC256" i="21"/>
  <c r="B256" i="21"/>
  <c r="C195" i="21"/>
  <c r="AG229" i="21"/>
  <c r="AG230" i="21"/>
  <c r="S229" i="21"/>
  <c r="S230" i="21"/>
  <c r="E229" i="21"/>
  <c r="E230" i="21"/>
  <c r="AG228" i="21"/>
  <c r="T226" i="21" s="1"/>
  <c r="U65" i="16" s="1"/>
  <c r="S228" i="21"/>
  <c r="E228" i="21"/>
  <c r="C227" i="21"/>
  <c r="AC224" i="21"/>
  <c r="AC192" i="21"/>
  <c r="T194" i="21"/>
  <c r="U55" i="16" s="1"/>
  <c r="AR162" i="21"/>
  <c r="C163" i="21"/>
  <c r="AR132" i="21"/>
  <c r="AR134" i="21" s="1"/>
  <c r="C131" i="21"/>
  <c r="V176" i="21"/>
  <c r="AJ48" i="22" s="1"/>
  <c r="N54" i="22" s="1"/>
  <c r="Q176" i="21"/>
  <c r="AL48" i="22" s="1"/>
  <c r="V174" i="21"/>
  <c r="AJ51" i="22" s="1"/>
  <c r="Z54" i="22" s="1"/>
  <c r="Q174" i="21"/>
  <c r="AL51" i="22" s="1"/>
  <c r="V172" i="21"/>
  <c r="Z48" i="22" s="1"/>
  <c r="L51" i="22" s="1"/>
  <c r="Q172" i="21"/>
  <c r="X48" i="22" s="1"/>
  <c r="AG166" i="21"/>
  <c r="S166" i="21"/>
  <c r="T162" i="21" s="1"/>
  <c r="U46" i="16" s="1"/>
  <c r="E166" i="21"/>
  <c r="AG165" i="21"/>
  <c r="S165" i="21"/>
  <c r="E165" i="21"/>
  <c r="AR164" i="21"/>
  <c r="AG164" i="21"/>
  <c r="S164" i="21"/>
  <c r="E164" i="21"/>
  <c r="AG162" i="21"/>
  <c r="AM162" i="21" s="1"/>
  <c r="AK160" i="21"/>
  <c r="AC160" i="21"/>
  <c r="B160" i="21"/>
  <c r="V144" i="21"/>
  <c r="AF47" i="22" s="1"/>
  <c r="J53" i="22" s="1"/>
  <c r="Q144" i="21"/>
  <c r="AH47" i="22" s="1"/>
  <c r="V142" i="21"/>
  <c r="AF50" i="22" s="1"/>
  <c r="V53" i="22" s="1"/>
  <c r="Q142" i="21"/>
  <c r="AH50" i="22" s="1"/>
  <c r="V140" i="21"/>
  <c r="V47" i="22" s="1"/>
  <c r="H50" i="22" s="1"/>
  <c r="Q140" i="21"/>
  <c r="T47" i="22" s="1"/>
  <c r="AG134" i="21"/>
  <c r="S134" i="21"/>
  <c r="E134" i="21"/>
  <c r="AG133" i="21"/>
  <c r="T130" i="21" s="1"/>
  <c r="U39" i="16" s="1"/>
  <c r="S133" i="21"/>
  <c r="E133" i="21"/>
  <c r="AG132" i="21"/>
  <c r="S132" i="21"/>
  <c r="E132" i="21"/>
  <c r="AG130" i="21"/>
  <c r="AM130" i="21" s="1"/>
  <c r="AK128" i="21"/>
  <c r="AC128" i="21"/>
  <c r="B128" i="21"/>
  <c r="E100" i="21"/>
  <c r="AR69" i="21"/>
  <c r="AG101" i="21"/>
  <c r="AG102" i="21"/>
  <c r="AG100" i="21"/>
  <c r="S101" i="21"/>
  <c r="S102" i="21"/>
  <c r="S100" i="21"/>
  <c r="T98" i="21" s="1"/>
  <c r="U31" i="16" s="1"/>
  <c r="E101" i="21"/>
  <c r="E102" i="21"/>
  <c r="C99" i="21"/>
  <c r="AK96" i="21"/>
  <c r="AC96" i="21"/>
  <c r="B96" i="21"/>
  <c r="AR226" i="21"/>
  <c r="AR228" i="21" s="1"/>
  <c r="V240" i="21"/>
  <c r="AB47" i="22" s="1"/>
  <c r="J52" i="22" s="1"/>
  <c r="Q240" i="21"/>
  <c r="AD47" i="22" s="1"/>
  <c r="V238" i="21"/>
  <c r="AB51" i="22" s="1"/>
  <c r="Z52" i="22" s="1"/>
  <c r="Q238" i="21"/>
  <c r="AD51" i="22" s="1"/>
  <c r="V236" i="21"/>
  <c r="Z47" i="22" s="1"/>
  <c r="H51" i="22" s="1"/>
  <c r="Q236" i="21"/>
  <c r="X47" i="22" s="1"/>
  <c r="AG226" i="21"/>
  <c r="AM226" i="21" s="1"/>
  <c r="AK224" i="21"/>
  <c r="B224" i="21"/>
  <c r="AR194" i="21"/>
  <c r="AR196" i="21" s="1"/>
  <c r="V208" i="21"/>
  <c r="AJ46" i="22" s="1"/>
  <c r="F54" i="22" s="1"/>
  <c r="Q208" i="21"/>
  <c r="AL46" i="22" s="1"/>
  <c r="V206" i="21"/>
  <c r="AJ50" i="22" s="1"/>
  <c r="V54" i="22" s="1"/>
  <c r="Q206" i="21"/>
  <c r="AL50" i="22" s="1"/>
  <c r="V204" i="21"/>
  <c r="V46" i="22" s="1"/>
  <c r="D50" i="22" s="1"/>
  <c r="Q204" i="21"/>
  <c r="T46" i="22" s="1"/>
  <c r="AG194" i="21"/>
  <c r="AM194" i="21" s="1"/>
  <c r="AK192" i="21"/>
  <c r="B192" i="21"/>
  <c r="AR98" i="21"/>
  <c r="AR100" i="21" s="1"/>
  <c r="V112" i="21"/>
  <c r="AB46" i="22" s="1"/>
  <c r="F52" i="22" s="1"/>
  <c r="Q112" i="21"/>
  <c r="AD46" i="22" s="1"/>
  <c r="V110" i="21"/>
  <c r="AB49" i="22" s="1"/>
  <c r="R52" i="22" s="1"/>
  <c r="Q110" i="21"/>
  <c r="AD49" i="22" s="1"/>
  <c r="V108" i="21"/>
  <c r="R46" i="22" s="1"/>
  <c r="D49" i="22" s="1"/>
  <c r="Q108" i="21"/>
  <c r="P46" i="22" s="1"/>
  <c r="AG98" i="21"/>
  <c r="AM98" i="21" s="1"/>
  <c r="B33" i="21"/>
  <c r="AK65" i="21"/>
  <c r="AC65" i="21"/>
  <c r="B65" i="21"/>
  <c r="AK33" i="21"/>
  <c r="AC33" i="21"/>
  <c r="AR5" i="21"/>
  <c r="AC1" i="21"/>
  <c r="AK1" i="21"/>
  <c r="B1" i="21"/>
  <c r="AR386" i="19"/>
  <c r="AR388" i="19" s="1"/>
  <c r="C387" i="19"/>
  <c r="AK384" i="19"/>
  <c r="AR354" i="19"/>
  <c r="AR356" i="19"/>
  <c r="V398" i="19"/>
  <c r="Q398" i="19"/>
  <c r="X34" i="22" s="1"/>
  <c r="R36" i="22" s="1"/>
  <c r="V396" i="19"/>
  <c r="V34" i="22" s="1"/>
  <c r="P35" i="22" s="1"/>
  <c r="Q396" i="19"/>
  <c r="T34" i="22" s="1"/>
  <c r="AG390" i="19"/>
  <c r="S390" i="19"/>
  <c r="E390" i="19"/>
  <c r="AG389" i="19"/>
  <c r="S389" i="19"/>
  <c r="E389" i="19"/>
  <c r="AG388" i="19"/>
  <c r="S388" i="19"/>
  <c r="T386" i="19" s="1"/>
  <c r="O104" i="16" s="1"/>
  <c r="E388" i="19"/>
  <c r="AG386" i="19"/>
  <c r="AM386" i="19" s="1"/>
  <c r="AC384" i="19"/>
  <c r="B384" i="19"/>
  <c r="AR322" i="19"/>
  <c r="AR324" i="19" s="1"/>
  <c r="C355" i="19"/>
  <c r="C323" i="19"/>
  <c r="AR290" i="19"/>
  <c r="AR292" i="19" s="1"/>
  <c r="C291" i="19"/>
  <c r="AG354" i="19"/>
  <c r="AK352" i="19"/>
  <c r="AK320" i="19"/>
  <c r="AG322" i="19"/>
  <c r="AM322" i="19" s="1"/>
  <c r="AG290" i="19"/>
  <c r="AG258" i="19"/>
  <c r="AG226" i="19"/>
  <c r="AG194" i="19"/>
  <c r="AK288" i="19"/>
  <c r="V368" i="19"/>
  <c r="Q368" i="19"/>
  <c r="AL38" i="22" s="1"/>
  <c r="V366" i="19"/>
  <c r="AJ33" i="22" s="1"/>
  <c r="N39" i="22" s="1"/>
  <c r="Q366" i="19"/>
  <c r="AL33" i="22" s="1"/>
  <c r="V364" i="19"/>
  <c r="Z33" i="22" s="1"/>
  <c r="L36" i="22" s="1"/>
  <c r="Q364" i="19"/>
  <c r="X33" i="22" s="1"/>
  <c r="AG358" i="19"/>
  <c r="T354" i="19" s="1"/>
  <c r="O95" i="16" s="1"/>
  <c r="S358" i="19"/>
  <c r="E358" i="19"/>
  <c r="AG357" i="19"/>
  <c r="S357" i="19"/>
  <c r="E357" i="19"/>
  <c r="AG356" i="19"/>
  <c r="S356" i="19"/>
  <c r="E356" i="19"/>
  <c r="AM354" i="19"/>
  <c r="AC352" i="19"/>
  <c r="B352" i="19"/>
  <c r="AR226" i="19"/>
  <c r="AR228" i="19" s="1"/>
  <c r="V334" i="19"/>
  <c r="AF32" i="22" s="1"/>
  <c r="J38" i="22" s="1"/>
  <c r="Q334" i="19"/>
  <c r="AH32" i="22" s="1"/>
  <c r="V332" i="19"/>
  <c r="V32" i="22" s="1"/>
  <c r="H35" i="22" s="1"/>
  <c r="Q332" i="19"/>
  <c r="T32" i="22" s="1"/>
  <c r="AG326" i="19"/>
  <c r="S326" i="19"/>
  <c r="E326" i="19"/>
  <c r="AG325" i="19"/>
  <c r="S325" i="19"/>
  <c r="E325" i="19"/>
  <c r="T322" i="19" s="1"/>
  <c r="O88" i="16" s="1"/>
  <c r="AG324" i="19"/>
  <c r="S324" i="19"/>
  <c r="E324" i="19"/>
  <c r="AC320" i="19"/>
  <c r="B320" i="19"/>
  <c r="V304" i="19"/>
  <c r="AB31" i="22" s="1"/>
  <c r="F37" i="22" s="1"/>
  <c r="Q304" i="19"/>
  <c r="AD31" i="22" s="1"/>
  <c r="V302" i="19"/>
  <c r="AB34" i="22" s="1"/>
  <c r="R37" i="22" s="1"/>
  <c r="Q302" i="19"/>
  <c r="AD34" i="22" s="1"/>
  <c r="V300" i="19"/>
  <c r="R31" i="22" s="1"/>
  <c r="D34" i="22" s="1"/>
  <c r="Q300" i="19"/>
  <c r="P31" i="22" s="1"/>
  <c r="T290" i="19"/>
  <c r="O81" i="16" s="1"/>
  <c r="AM290" i="19"/>
  <c r="AC288" i="19"/>
  <c r="B288" i="19"/>
  <c r="AR258" i="19"/>
  <c r="AR260" i="19" s="1"/>
  <c r="C259" i="19"/>
  <c r="C227" i="19"/>
  <c r="AR194" i="19"/>
  <c r="AR196" i="19" s="1"/>
  <c r="C195" i="19"/>
  <c r="AK256" i="19"/>
  <c r="AK224" i="19"/>
  <c r="AK192" i="19"/>
  <c r="V272" i="19"/>
  <c r="AB33" i="22" s="1"/>
  <c r="N37" i="22" s="1"/>
  <c r="Q272" i="19"/>
  <c r="AD33" i="22" s="1"/>
  <c r="V270" i="19"/>
  <c r="AB35" i="22" s="1"/>
  <c r="V37" i="22" s="1"/>
  <c r="Q270" i="19"/>
  <c r="AD35" i="22" s="1"/>
  <c r="V268" i="19"/>
  <c r="V33" i="22" s="1"/>
  <c r="L35" i="22" s="1"/>
  <c r="Q268" i="19"/>
  <c r="T33" i="22" s="1"/>
  <c r="AG262" i="19"/>
  <c r="S262" i="19"/>
  <c r="E262" i="19"/>
  <c r="AG261" i="19"/>
  <c r="S261" i="19"/>
  <c r="T258" i="19" s="1"/>
  <c r="O72" i="16" s="1"/>
  <c r="E261" i="19"/>
  <c r="AG260" i="19"/>
  <c r="S260" i="19"/>
  <c r="E260" i="19"/>
  <c r="AM258" i="19"/>
  <c r="AC256" i="19"/>
  <c r="B256" i="19"/>
  <c r="V240" i="19"/>
  <c r="AJ32" i="22" s="1"/>
  <c r="J39" i="22" s="1"/>
  <c r="Q240" i="19"/>
  <c r="AL32" i="22" s="1"/>
  <c r="V238" i="19"/>
  <c r="AJ34" i="22" s="1"/>
  <c r="R39" i="22" s="1"/>
  <c r="Q238" i="19"/>
  <c r="AL34" i="22" s="1"/>
  <c r="V236" i="19"/>
  <c r="R32" i="22" s="1"/>
  <c r="H34" i="22" s="1"/>
  <c r="Q236" i="19"/>
  <c r="P32" i="22" s="1"/>
  <c r="T226" i="19"/>
  <c r="O65" i="16" s="1"/>
  <c r="AM226" i="19"/>
  <c r="AC224" i="19"/>
  <c r="B224" i="19"/>
  <c r="V208" i="19"/>
  <c r="AF31" i="22" s="1"/>
  <c r="F38" i="22" s="1"/>
  <c r="Q208" i="19"/>
  <c r="AH31" i="22" s="1"/>
  <c r="V206" i="19"/>
  <c r="AF36" i="22" s="1"/>
  <c r="Z38" i="22" s="1"/>
  <c r="Q206" i="19"/>
  <c r="AH36" i="22" s="1"/>
  <c r="V204" i="19"/>
  <c r="Z31" i="22" s="1"/>
  <c r="D36" i="22" s="1"/>
  <c r="Q204" i="19"/>
  <c r="X31" i="22" s="1"/>
  <c r="T194" i="19"/>
  <c r="O55" i="16" s="1"/>
  <c r="AM194" i="19"/>
  <c r="AC192" i="19"/>
  <c r="B192" i="19"/>
  <c r="AR162" i="19"/>
  <c r="AR164" i="19" s="1"/>
  <c r="C163" i="19"/>
  <c r="V176" i="19"/>
  <c r="AF33" i="22" s="1"/>
  <c r="N38" i="22" s="1"/>
  <c r="Q176" i="19"/>
  <c r="AH33" i="22" s="1"/>
  <c r="V174" i="19"/>
  <c r="AF34" i="22" s="1"/>
  <c r="R38" i="22" s="1"/>
  <c r="Q174" i="19"/>
  <c r="AH34" i="22" s="1"/>
  <c r="V172" i="19"/>
  <c r="R33" i="22" s="1"/>
  <c r="L34" i="22" s="1"/>
  <c r="Q172" i="19"/>
  <c r="P33" i="22" s="1"/>
  <c r="AG166" i="19"/>
  <c r="S166" i="19"/>
  <c r="E166" i="19"/>
  <c r="T162" i="19" s="1"/>
  <c r="O46" i="16" s="1"/>
  <c r="AG165" i="19"/>
  <c r="S165" i="19"/>
  <c r="E165" i="19"/>
  <c r="AG164" i="19"/>
  <c r="S164" i="19"/>
  <c r="E164" i="19"/>
  <c r="AG162" i="19"/>
  <c r="AM162" i="19"/>
  <c r="AK160" i="19"/>
  <c r="AC160" i="19"/>
  <c r="B160" i="19"/>
  <c r="AR130" i="19"/>
  <c r="AR132" i="19" s="1"/>
  <c r="C131" i="19"/>
  <c r="AR98" i="19"/>
  <c r="AR100" i="19" s="1"/>
  <c r="V144" i="19"/>
  <c r="AB32" i="22" s="1"/>
  <c r="J37" i="22" s="1"/>
  <c r="Q144" i="19"/>
  <c r="AD32" i="22" s="1"/>
  <c r="AB36" i="22"/>
  <c r="AD36" i="22"/>
  <c r="V140" i="19"/>
  <c r="Z32" i="22" s="1"/>
  <c r="H36" i="22" s="1"/>
  <c r="Q140" i="19"/>
  <c r="X32" i="22" s="1"/>
  <c r="AG134" i="19"/>
  <c r="S134" i="19"/>
  <c r="E134" i="19"/>
  <c r="AG133" i="19"/>
  <c r="S133" i="19"/>
  <c r="E133" i="19"/>
  <c r="T130" i="19" s="1"/>
  <c r="O39" i="16" s="1"/>
  <c r="AG132" i="19"/>
  <c r="S132" i="19"/>
  <c r="E132" i="19"/>
  <c r="AG130" i="19"/>
  <c r="AM130" i="19" s="1"/>
  <c r="AK128" i="19"/>
  <c r="AC128" i="19"/>
  <c r="B128" i="19"/>
  <c r="AG101" i="19"/>
  <c r="AG102" i="19"/>
  <c r="T98" i="19" s="1"/>
  <c r="O31" i="16" s="1"/>
  <c r="AG100" i="19"/>
  <c r="S101" i="19"/>
  <c r="S102" i="19"/>
  <c r="S100" i="19"/>
  <c r="E101" i="19"/>
  <c r="E102" i="19"/>
  <c r="E100" i="19"/>
  <c r="AK65" i="19"/>
  <c r="AC65" i="19"/>
  <c r="B65" i="19"/>
  <c r="AK32" i="19"/>
  <c r="AC32" i="19"/>
  <c r="B32" i="19"/>
  <c r="AC1" i="19"/>
  <c r="AK1" i="19"/>
  <c r="B1" i="19"/>
  <c r="AG98" i="19"/>
  <c r="AM98" i="19" s="1"/>
  <c r="AK96" i="19"/>
  <c r="AC96" i="19"/>
  <c r="V112" i="19"/>
  <c r="AJ31" i="22" s="1"/>
  <c r="F39" i="22" s="1"/>
  <c r="Q112" i="19"/>
  <c r="AL31" i="22" s="1"/>
  <c r="V110" i="19"/>
  <c r="AJ35" i="22" s="1"/>
  <c r="V39" i="22" s="1"/>
  <c r="Q110" i="19"/>
  <c r="AL35" i="22" s="1"/>
  <c r="V108" i="19"/>
  <c r="V31" i="22" s="1"/>
  <c r="D35" i="22" s="1"/>
  <c r="Q108" i="19"/>
  <c r="T31" i="22" s="1"/>
  <c r="B96" i="19"/>
  <c r="AR345" i="18"/>
  <c r="C344" i="18"/>
  <c r="AR314" i="18"/>
  <c r="C313" i="18"/>
  <c r="AK341" i="18"/>
  <c r="AK310" i="18"/>
  <c r="AG343" i="18"/>
  <c r="AG312" i="18"/>
  <c r="AM312" i="18" s="1"/>
  <c r="AR284" i="18"/>
  <c r="C283" i="18"/>
  <c r="AG282" i="18"/>
  <c r="AM282" i="18" s="1"/>
  <c r="AK280" i="18"/>
  <c r="V356" i="18"/>
  <c r="AB20" i="22" s="1"/>
  <c r="Q356" i="18"/>
  <c r="AD20" i="22" s="1"/>
  <c r="L24" i="22" s="1"/>
  <c r="V354" i="18"/>
  <c r="AB22" i="22" s="1"/>
  <c r="Q354" i="18"/>
  <c r="AD22" i="22" s="1"/>
  <c r="T24" i="22" s="1"/>
  <c r="V352" i="18"/>
  <c r="V20" i="22" s="1"/>
  <c r="L22" i="22" s="1"/>
  <c r="Q352" i="18"/>
  <c r="T20" i="22" s="1"/>
  <c r="AR347" i="18"/>
  <c r="AG347" i="18"/>
  <c r="S347" i="18"/>
  <c r="E347" i="18"/>
  <c r="T343" i="18" s="1"/>
  <c r="I95" i="16" s="1"/>
  <c r="AG346" i="18"/>
  <c r="S346" i="18"/>
  <c r="E346" i="18"/>
  <c r="AG345" i="18"/>
  <c r="S345" i="18"/>
  <c r="E345" i="18"/>
  <c r="AM343" i="18"/>
  <c r="AC341" i="18"/>
  <c r="B341" i="18"/>
  <c r="V325" i="18"/>
  <c r="AJ19" i="22" s="1"/>
  <c r="Q325" i="18"/>
  <c r="AL19" i="22" s="1"/>
  <c r="H26" i="22" s="1"/>
  <c r="V323" i="18"/>
  <c r="AJ21" i="22" s="1"/>
  <c r="Q323" i="18"/>
  <c r="AL21" i="22" s="1"/>
  <c r="P26" i="22" s="1"/>
  <c r="AR316" i="18"/>
  <c r="V321" i="18"/>
  <c r="R19" i="22" s="1"/>
  <c r="H21" i="22" s="1"/>
  <c r="Q321" i="18"/>
  <c r="P19" i="22" s="1"/>
  <c r="AG316" i="18"/>
  <c r="T312" i="18" s="1"/>
  <c r="I88" i="16" s="1"/>
  <c r="S316" i="18"/>
  <c r="E316" i="18"/>
  <c r="AG315" i="18"/>
  <c r="S315" i="18"/>
  <c r="E315" i="18"/>
  <c r="AG314" i="18"/>
  <c r="S314" i="18"/>
  <c r="E314" i="18"/>
  <c r="AC310" i="18"/>
  <c r="B310" i="18"/>
  <c r="V294" i="18"/>
  <c r="AF18" i="22" s="1"/>
  <c r="Q294" i="18"/>
  <c r="AH18" i="22" s="1"/>
  <c r="D25" i="22" s="1"/>
  <c r="V292" i="18"/>
  <c r="AF23" i="22" s="1"/>
  <c r="Z25" i="22" s="1"/>
  <c r="Q292" i="18"/>
  <c r="AH23" i="22" s="1"/>
  <c r="V290" i="18"/>
  <c r="Z18" i="22" s="1"/>
  <c r="Q290" i="18"/>
  <c r="X18" i="22" s="1"/>
  <c r="F23" i="22" s="1"/>
  <c r="AR286" i="18"/>
  <c r="AG284" i="18"/>
  <c r="S285" i="18"/>
  <c r="T282" i="18" s="1"/>
  <c r="I81" i="16" s="1"/>
  <c r="E286" i="18"/>
  <c r="S287" i="18"/>
  <c r="S284" i="18"/>
  <c r="E285" i="18"/>
  <c r="S286" i="18"/>
  <c r="E287" i="18"/>
  <c r="E284" i="18"/>
  <c r="AC280" i="18"/>
  <c r="B280" i="18"/>
  <c r="AR253" i="18"/>
  <c r="AR255" i="18" s="1"/>
  <c r="AR222" i="18"/>
  <c r="AR224" i="18" s="1"/>
  <c r="AR192" i="18"/>
  <c r="AR194" i="18" s="1"/>
  <c r="AR162" i="18"/>
  <c r="AR164" i="18" s="1"/>
  <c r="AR133" i="18"/>
  <c r="AR135" i="18" s="1"/>
  <c r="C252" i="18"/>
  <c r="V229" i="18"/>
  <c r="Q229" i="18"/>
  <c r="X19" i="22" s="1"/>
  <c r="C221" i="18"/>
  <c r="V198" i="18"/>
  <c r="V18" i="22" s="1"/>
  <c r="D22" i="22" s="1"/>
  <c r="Q198" i="18"/>
  <c r="T18" i="22" s="1"/>
  <c r="C191" i="18"/>
  <c r="AG251" i="18"/>
  <c r="AG220" i="18"/>
  <c r="AG190" i="18"/>
  <c r="AM190" i="18" s="1"/>
  <c r="C161" i="18"/>
  <c r="AK158" i="18"/>
  <c r="AC158" i="18"/>
  <c r="B158" i="18"/>
  <c r="C130" i="18"/>
  <c r="V138" i="18"/>
  <c r="V19" i="22" s="1"/>
  <c r="Q138" i="18"/>
  <c r="AG160" i="18"/>
  <c r="AG129" i="18"/>
  <c r="AG98" i="18"/>
  <c r="AM98" i="18" s="1"/>
  <c r="C99" i="18"/>
  <c r="AR100" i="18"/>
  <c r="AR102" i="18" s="1"/>
  <c r="AK249" i="18"/>
  <c r="AK218" i="18"/>
  <c r="AK188" i="18"/>
  <c r="B188" i="18"/>
  <c r="AC188" i="18"/>
  <c r="E193" i="18"/>
  <c r="E192" i="18"/>
  <c r="S192" i="18"/>
  <c r="AG192" i="18"/>
  <c r="S193" i="18"/>
  <c r="AG193" i="18"/>
  <c r="E194" i="18"/>
  <c r="S194" i="18"/>
  <c r="AG194" i="18"/>
  <c r="T190" i="18" s="1"/>
  <c r="I55" i="16" s="1"/>
  <c r="Q200" i="18"/>
  <c r="AL22" i="22" s="1"/>
  <c r="T26" i="22" s="1"/>
  <c r="V200" i="18"/>
  <c r="AJ22" i="22" s="1"/>
  <c r="Q202" i="18"/>
  <c r="AL18" i="22" s="1"/>
  <c r="D26" i="22" s="1"/>
  <c r="V202" i="18"/>
  <c r="AJ18" i="22" s="1"/>
  <c r="B218" i="18"/>
  <c r="AC218" i="18"/>
  <c r="S223" i="18"/>
  <c r="AM220" i="18"/>
  <c r="E222" i="18"/>
  <c r="S222" i="18"/>
  <c r="AG222" i="18"/>
  <c r="T220" i="18" s="1"/>
  <c r="I65" i="16" s="1"/>
  <c r="E223" i="18"/>
  <c r="AG223" i="18"/>
  <c r="E224" i="18"/>
  <c r="S224" i="18"/>
  <c r="AG224" i="18"/>
  <c r="Q231" i="18"/>
  <c r="AD23" i="22" s="1"/>
  <c r="X24" i="22" s="1"/>
  <c r="V231" i="18"/>
  <c r="AB23" i="22" s="1"/>
  <c r="Q233" i="18"/>
  <c r="AD19" i="22" s="1"/>
  <c r="V233" i="18"/>
  <c r="AB19" i="22" s="1"/>
  <c r="J24" i="22" s="1"/>
  <c r="B249" i="18"/>
  <c r="AC249" i="18"/>
  <c r="AM251" i="18"/>
  <c r="T251" i="18"/>
  <c r="I72" i="16" s="1"/>
  <c r="Q260" i="18"/>
  <c r="P20" i="22" s="1"/>
  <c r="V260" i="18"/>
  <c r="R20" i="22" s="1"/>
  <c r="L21" i="22" s="1"/>
  <c r="Q262" i="18"/>
  <c r="AH21" i="22" s="1"/>
  <c r="P25" i="22" s="1"/>
  <c r="V262" i="18"/>
  <c r="AF21" i="22" s="1"/>
  <c r="Q264" i="18"/>
  <c r="AH20" i="22" s="1"/>
  <c r="L25" i="22" s="1"/>
  <c r="V264" i="18"/>
  <c r="AF20" i="22" s="1"/>
  <c r="AK127" i="18"/>
  <c r="AK96" i="18"/>
  <c r="B96" i="18"/>
  <c r="AC96" i="18"/>
  <c r="E101" i="18"/>
  <c r="E100" i="18"/>
  <c r="T98" i="18" s="1"/>
  <c r="I31" i="16" s="1"/>
  <c r="S100" i="18"/>
  <c r="AG100" i="18"/>
  <c r="S101" i="18"/>
  <c r="AG101" i="18"/>
  <c r="E102" i="18"/>
  <c r="S102" i="18"/>
  <c r="AG102" i="18"/>
  <c r="Q107" i="18"/>
  <c r="P18" i="22" s="1"/>
  <c r="V107" i="18"/>
  <c r="R18" i="22" s="1"/>
  <c r="D21" i="22" s="1"/>
  <c r="Q109" i="18"/>
  <c r="AD21" i="22" s="1"/>
  <c r="V109" i="18"/>
  <c r="AB21" i="22" s="1"/>
  <c r="R24" i="22" s="1"/>
  <c r="Q111" i="18"/>
  <c r="AD18" i="22" s="1"/>
  <c r="D24" i="22" s="1"/>
  <c r="V111" i="18"/>
  <c r="AB18" i="22" s="1"/>
  <c r="B127" i="18"/>
  <c r="AC127" i="18"/>
  <c r="S132" i="18"/>
  <c r="AM129" i="18"/>
  <c r="E131" i="18"/>
  <c r="S131" i="18"/>
  <c r="AG131" i="18"/>
  <c r="E132" i="18"/>
  <c r="AG132" i="18"/>
  <c r="T129" i="18" s="1"/>
  <c r="I39" i="16" s="1"/>
  <c r="E133" i="18"/>
  <c r="S133" i="18"/>
  <c r="AG133" i="18"/>
  <c r="Q140" i="18"/>
  <c r="AH22" i="22" s="1"/>
  <c r="T25" i="22" s="1"/>
  <c r="V140" i="18"/>
  <c r="AF22" i="22" s="1"/>
  <c r="Q142" i="18"/>
  <c r="AH19" i="22" s="1"/>
  <c r="V142" i="18"/>
  <c r="AF19" i="22" s="1"/>
  <c r="J25" i="22" s="1"/>
  <c r="AM160" i="18"/>
  <c r="E162" i="18"/>
  <c r="S162" i="18"/>
  <c r="AG162" i="18"/>
  <c r="E163" i="18"/>
  <c r="S163" i="18"/>
  <c r="AG163" i="18"/>
  <c r="E164" i="18"/>
  <c r="S164" i="18"/>
  <c r="AG164" i="18"/>
  <c r="T160" i="18" s="1"/>
  <c r="I46" i="16" s="1"/>
  <c r="Q168" i="18"/>
  <c r="X20" i="22" s="1"/>
  <c r="V168" i="18"/>
  <c r="Z20" i="22" s="1"/>
  <c r="L23" i="22" s="1"/>
  <c r="Q170" i="18"/>
  <c r="AL23" i="22" s="1"/>
  <c r="V170" i="18"/>
  <c r="AJ23" i="22" s="1"/>
  <c r="Z26" i="22" s="1"/>
  <c r="Q172" i="18"/>
  <c r="V172" i="18"/>
  <c r="AJ20" i="22" s="1"/>
  <c r="E6" i="18"/>
  <c r="T3" i="18" s="1"/>
  <c r="I7" i="16" s="1"/>
  <c r="C117" i="16"/>
  <c r="AR442" i="4"/>
  <c r="AR444" i="4" s="1"/>
  <c r="V450" i="4"/>
  <c r="AD5" i="22" s="1"/>
  <c r="H10" i="22" s="1"/>
  <c r="Q450" i="4"/>
  <c r="AB5" i="22" s="1"/>
  <c r="AG440" i="4"/>
  <c r="C441" i="4"/>
  <c r="C110" i="16"/>
  <c r="AR411" i="4"/>
  <c r="AR413" i="4" s="1"/>
  <c r="AM409" i="4"/>
  <c r="C109" i="16"/>
  <c r="C410" i="4" s="1"/>
  <c r="C103" i="16"/>
  <c r="AS382" i="4"/>
  <c r="AR380" i="4"/>
  <c r="AR382" i="4" s="1"/>
  <c r="V388" i="4"/>
  <c r="AL4" i="22" s="1"/>
  <c r="Q388" i="4"/>
  <c r="AJ4" i="22" s="1"/>
  <c r="AG378" i="4"/>
  <c r="C379" i="4"/>
  <c r="C94" i="16"/>
  <c r="Z94" i="16" s="1"/>
  <c r="A96" i="16" s="1"/>
  <c r="A97" i="16" s="1"/>
  <c r="V357" i="4"/>
  <c r="AP5" i="22" s="1"/>
  <c r="H13" i="22" s="1"/>
  <c r="Q357" i="4"/>
  <c r="AN5" i="22" s="1"/>
  <c r="J13" i="22" s="1"/>
  <c r="AG347" i="4"/>
  <c r="AM347" i="4" s="1"/>
  <c r="AR342" i="4"/>
  <c r="AR344" i="4" s="1"/>
  <c r="C348" i="4"/>
  <c r="T3" i="3"/>
  <c r="C87" i="16"/>
  <c r="Z87" i="16" s="1"/>
  <c r="A89" i="16" s="1"/>
  <c r="A90" i="16" s="1"/>
  <c r="A91" i="16" s="1"/>
  <c r="AR319" i="4"/>
  <c r="AR321" i="4" s="1"/>
  <c r="AG316" i="4"/>
  <c r="AG285" i="4"/>
  <c r="C86" i="16"/>
  <c r="C317" i="4" s="1"/>
  <c r="C80" i="16"/>
  <c r="Z80" i="16" s="1"/>
  <c r="AS287" i="4"/>
  <c r="AS289" i="4" s="1"/>
  <c r="C79" i="16"/>
  <c r="C286" i="4" s="1"/>
  <c r="AK64" i="18"/>
  <c r="AC64" i="18"/>
  <c r="B64" i="18"/>
  <c r="AK33" i="18"/>
  <c r="AC33" i="18"/>
  <c r="B33" i="18"/>
  <c r="AC1" i="18"/>
  <c r="AK1" i="18"/>
  <c r="B1" i="18"/>
  <c r="AK407" i="4"/>
  <c r="AK376" i="4"/>
  <c r="AK345" i="4"/>
  <c r="AK314" i="4"/>
  <c r="AK283" i="4"/>
  <c r="AK189" i="4"/>
  <c r="AK158" i="4"/>
  <c r="AC158" i="4"/>
  <c r="B158" i="4"/>
  <c r="AK126" i="4"/>
  <c r="AC126" i="4"/>
  <c r="B126" i="4"/>
  <c r="AK95" i="4"/>
  <c r="AC95" i="4"/>
  <c r="B95" i="4"/>
  <c r="AK64" i="4"/>
  <c r="AC64" i="4"/>
  <c r="B64" i="4"/>
  <c r="AK32" i="4"/>
  <c r="AC32" i="4"/>
  <c r="B32" i="4"/>
  <c r="AK1" i="4"/>
  <c r="AC1" i="4"/>
  <c r="B1" i="4"/>
  <c r="B438" i="4"/>
  <c r="B407" i="4"/>
  <c r="AC376" i="4"/>
  <c r="B376" i="4"/>
  <c r="AC345" i="4"/>
  <c r="B345" i="4"/>
  <c r="AC314" i="4"/>
  <c r="B314" i="4"/>
  <c r="AC283" i="4"/>
  <c r="B283" i="4"/>
  <c r="C71" i="16"/>
  <c r="AS256" i="4"/>
  <c r="AS258" i="4" s="1"/>
  <c r="AG254" i="4"/>
  <c r="C255" i="4"/>
  <c r="C64" i="16"/>
  <c r="Z64" i="16" s="1"/>
  <c r="A66" i="16" s="1"/>
  <c r="A67" i="16" s="1"/>
  <c r="A68" i="16" s="1"/>
  <c r="AR226" i="4"/>
  <c r="AR228" i="4" s="1"/>
  <c r="AG223" i="4"/>
  <c r="C224" i="4"/>
  <c r="AK252" i="4"/>
  <c r="AC252" i="4"/>
  <c r="B252" i="4"/>
  <c r="AK220" i="4"/>
  <c r="AC220" i="4"/>
  <c r="B220" i="4"/>
  <c r="AC189" i="4"/>
  <c r="B189" i="4"/>
  <c r="C54" i="16"/>
  <c r="AS196" i="4"/>
  <c r="C192" i="4"/>
  <c r="AS162" i="4"/>
  <c r="AS164" i="4" s="1"/>
  <c r="AS132" i="4"/>
  <c r="C45" i="16"/>
  <c r="Z45" i="16" s="1"/>
  <c r="A47" i="16" s="1"/>
  <c r="A48" i="16" s="1"/>
  <c r="A49" i="16" s="1"/>
  <c r="F27" i="16"/>
  <c r="AG129" i="4" s="1"/>
  <c r="AM129" i="4" s="1"/>
  <c r="C30" i="16"/>
  <c r="C38" i="16"/>
  <c r="C161" i="4"/>
  <c r="F3" i="16"/>
  <c r="C37" i="16"/>
  <c r="C130" i="4" s="1"/>
  <c r="O97" i="4"/>
  <c r="N97" i="4"/>
  <c r="M97" i="4"/>
  <c r="L97" i="4"/>
  <c r="K97" i="4"/>
  <c r="J97" i="4"/>
  <c r="I97" i="4"/>
  <c r="H97" i="4"/>
  <c r="C29" i="16"/>
  <c r="C98" i="4" s="1"/>
  <c r="AM191" i="4"/>
  <c r="C21" i="16"/>
  <c r="Z21" i="16" s="1"/>
  <c r="A23" i="16" s="1"/>
  <c r="A24" i="16" s="1"/>
  <c r="A25" i="16" s="1"/>
  <c r="C14" i="16"/>
  <c r="Z14" i="16" s="1"/>
  <c r="V452" i="4"/>
  <c r="AH5" i="22" s="1"/>
  <c r="H11" i="22" s="1"/>
  <c r="Q452" i="4"/>
  <c r="AF5" i="22" s="1"/>
  <c r="AE5" i="22" s="1"/>
  <c r="C118" i="16"/>
  <c r="AM440" i="4"/>
  <c r="V421" i="4"/>
  <c r="AN8" i="22" s="1"/>
  <c r="V13" i="22" s="1"/>
  <c r="Q421" i="4"/>
  <c r="AP8" i="22" s="1"/>
  <c r="T13" i="22" s="1"/>
  <c r="V419" i="4"/>
  <c r="V6" i="22" s="1"/>
  <c r="Q419" i="4"/>
  <c r="T6" i="22" s="1"/>
  <c r="C111" i="16"/>
  <c r="V392" i="4"/>
  <c r="Z7" i="22" s="1"/>
  <c r="P9" i="22" s="1"/>
  <c r="Q392" i="4"/>
  <c r="X7" i="22" s="1"/>
  <c r="V390" i="4"/>
  <c r="AL7" i="22" s="1"/>
  <c r="Q390" i="4"/>
  <c r="AJ7" i="22" s="1"/>
  <c r="E383" i="4"/>
  <c r="AG382" i="4"/>
  <c r="S382" i="4"/>
  <c r="E382" i="4"/>
  <c r="AG381" i="4"/>
  <c r="T378" i="4" s="1"/>
  <c r="C104" i="16" s="1"/>
  <c r="S381" i="4"/>
  <c r="E381" i="4"/>
  <c r="AG380" i="4"/>
  <c r="S380" i="4"/>
  <c r="E380" i="4"/>
  <c r="AM378" i="4"/>
  <c r="V359" i="4"/>
  <c r="AP7" i="22" s="1"/>
  <c r="P13" i="22" s="1"/>
  <c r="Q359" i="4"/>
  <c r="AN7" i="22" s="1"/>
  <c r="R13" i="22" s="1"/>
  <c r="T347" i="4"/>
  <c r="C95" i="16" s="1"/>
  <c r="V330" i="4"/>
  <c r="AH9" i="22" s="1"/>
  <c r="X11" i="22" s="1"/>
  <c r="W11" i="22" s="1"/>
  <c r="Q330" i="4"/>
  <c r="AF9" i="22" s="1"/>
  <c r="AE9" i="22" s="1"/>
  <c r="V328" i="4"/>
  <c r="AH6" i="22" s="1"/>
  <c r="L11" i="22" s="1"/>
  <c r="Q328" i="4"/>
  <c r="AF6" i="22" s="1"/>
  <c r="N11" i="22" s="1"/>
  <c r="V326" i="4"/>
  <c r="Z6" i="22" s="1"/>
  <c r="Q326" i="4"/>
  <c r="X6" i="22" s="1"/>
  <c r="T316" i="4"/>
  <c r="C88" i="16" s="1"/>
  <c r="AM316" i="4"/>
  <c r="V299" i="4"/>
  <c r="V4" i="22" s="1"/>
  <c r="Q299" i="4"/>
  <c r="T4" i="22" s="1"/>
  <c r="V297" i="4"/>
  <c r="AJ10" i="22" s="1"/>
  <c r="Q297" i="4"/>
  <c r="AL10" i="22" s="1"/>
  <c r="V295" i="4"/>
  <c r="AD4" i="22" s="1"/>
  <c r="Q295" i="4"/>
  <c r="AB4" i="22" s="1"/>
  <c r="E290" i="4"/>
  <c r="AG289" i="4"/>
  <c r="S289" i="4"/>
  <c r="E289" i="4"/>
  <c r="AG288" i="4"/>
  <c r="T285" i="4" s="1"/>
  <c r="C81" i="16" s="1"/>
  <c r="S288" i="4"/>
  <c r="E288" i="4"/>
  <c r="AG287" i="4"/>
  <c r="S287" i="4"/>
  <c r="E287" i="4"/>
  <c r="AM285" i="4"/>
  <c r="V268" i="4"/>
  <c r="AF7" i="22" s="1"/>
  <c r="Q268" i="4"/>
  <c r="AH7" i="22" s="1"/>
  <c r="P11" i="22" s="1"/>
  <c r="V266" i="4"/>
  <c r="AF10" i="22" s="1"/>
  <c r="Q266" i="4"/>
  <c r="AH10" i="22" s="1"/>
  <c r="AB11" i="22" s="1"/>
  <c r="V264" i="4"/>
  <c r="AD7" i="22" s="1"/>
  <c r="P10" i="22" s="1"/>
  <c r="Q264" i="4"/>
  <c r="AB7" i="22" s="1"/>
  <c r="T254" i="4"/>
  <c r="C72" i="16" s="1"/>
  <c r="AM254" i="4"/>
  <c r="V237" i="4"/>
  <c r="Q237" i="4"/>
  <c r="V235" i="4"/>
  <c r="AN9" i="22" s="1"/>
  <c r="Z13" i="22" s="1"/>
  <c r="Q235" i="4"/>
  <c r="AP9" i="22" s="1"/>
  <c r="X13" i="22" s="1"/>
  <c r="V233" i="4"/>
  <c r="Z4" i="22" s="1"/>
  <c r="Q233" i="4"/>
  <c r="X4" i="22" s="1"/>
  <c r="T223" i="4"/>
  <c r="C65" i="16" s="1"/>
  <c r="AM223" i="4"/>
  <c r="V207" i="4"/>
  <c r="Q207" i="4"/>
  <c r="AJ6" i="22" s="1"/>
  <c r="V205" i="4"/>
  <c r="V5" i="22" s="1"/>
  <c r="H8" i="22" s="1"/>
  <c r="Q205" i="4"/>
  <c r="T5" i="22" s="1"/>
  <c r="V203" i="4"/>
  <c r="AJ8" i="22" s="1"/>
  <c r="Q203" i="4"/>
  <c r="AL8" i="22" s="1"/>
  <c r="V174" i="4"/>
  <c r="AN6" i="22" s="1"/>
  <c r="Q174" i="4"/>
  <c r="AP6" i="22" s="1"/>
  <c r="L13" i="22" s="1"/>
  <c r="V172" i="4"/>
  <c r="AN10" i="22" s="1"/>
  <c r="AD13" i="22" s="1"/>
  <c r="Q172" i="4"/>
  <c r="AP10" i="22" s="1"/>
  <c r="AB13" i="22" s="1"/>
  <c r="V170" i="4"/>
  <c r="AD6" i="22" s="1"/>
  <c r="L10" i="22" s="1"/>
  <c r="Q170" i="4"/>
  <c r="AB6" i="22" s="1"/>
  <c r="E165" i="4"/>
  <c r="AG164" i="4"/>
  <c r="T160" i="4" s="1"/>
  <c r="C46" i="16" s="1"/>
  <c r="S164" i="4"/>
  <c r="E164" i="4"/>
  <c r="AG163" i="4"/>
  <c r="S163" i="4"/>
  <c r="E163" i="4"/>
  <c r="AG162" i="4"/>
  <c r="S162" i="4"/>
  <c r="E162" i="4"/>
  <c r="V143" i="4"/>
  <c r="AL9" i="22" s="1"/>
  <c r="Q143" i="4"/>
  <c r="AJ9" i="22" s="1"/>
  <c r="V141" i="4"/>
  <c r="AL5" i="22" s="1"/>
  <c r="Q141" i="4"/>
  <c r="AJ5" i="22" s="1"/>
  <c r="E134" i="4"/>
  <c r="AG133" i="4"/>
  <c r="S133" i="4"/>
  <c r="E133" i="4"/>
  <c r="AG132" i="4"/>
  <c r="S132" i="4"/>
  <c r="T129" i="4" s="1"/>
  <c r="C39" i="16" s="1"/>
  <c r="E132" i="4"/>
  <c r="AG131" i="4"/>
  <c r="S131" i="4"/>
  <c r="E131" i="4"/>
  <c r="V113" i="4"/>
  <c r="T7" i="22" s="1"/>
  <c r="Q113" i="4"/>
  <c r="V7" i="22" s="1"/>
  <c r="P8" i="22" s="1"/>
  <c r="V111" i="4"/>
  <c r="Q111" i="4"/>
  <c r="AF4" i="22" s="1"/>
  <c r="T11" i="22"/>
  <c r="Q109" i="4"/>
  <c r="AF8" i="22" s="1"/>
  <c r="E102" i="4"/>
  <c r="T97" i="4" s="1"/>
  <c r="C31" i="16" s="1"/>
  <c r="AG101" i="4"/>
  <c r="S101" i="4"/>
  <c r="E101" i="4"/>
  <c r="AG100" i="4"/>
  <c r="S100" i="4"/>
  <c r="E100" i="4"/>
  <c r="AG99" i="4"/>
  <c r="S99" i="4"/>
  <c r="E99" i="4"/>
  <c r="X76" i="19"/>
  <c r="X78" i="19"/>
  <c r="G66" i="18"/>
  <c r="C67" i="18"/>
  <c r="G35" i="18"/>
  <c r="C36" i="18"/>
  <c r="C68" i="19"/>
  <c r="AG70" i="19"/>
  <c r="AG71" i="19"/>
  <c r="AG69" i="19"/>
  <c r="S70" i="19"/>
  <c r="S71" i="19"/>
  <c r="S69" i="19"/>
  <c r="E70" i="19"/>
  <c r="E71" i="19"/>
  <c r="E69" i="19"/>
  <c r="J78" i="19"/>
  <c r="V76" i="19"/>
  <c r="AL36" i="22" s="1"/>
  <c r="Q76" i="19"/>
  <c r="AJ36" i="22" s="1"/>
  <c r="Z39" i="22" s="1"/>
  <c r="J76" i="19"/>
  <c r="T67" i="19" s="1"/>
  <c r="O22" i="16" s="1"/>
  <c r="C68" i="21"/>
  <c r="X80" i="21"/>
  <c r="V80" i="21"/>
  <c r="AJ52" i="22" s="1"/>
  <c r="Q80" i="21"/>
  <c r="AL52" i="22" s="1"/>
  <c r="AB54" i="22" s="1"/>
  <c r="J80" i="21"/>
  <c r="X78" i="21"/>
  <c r="V78" i="21"/>
  <c r="AJ53" i="22" s="1"/>
  <c r="Q78" i="21"/>
  <c r="AL53" i="22" s="1"/>
  <c r="AF54" i="22" s="1"/>
  <c r="J78" i="21"/>
  <c r="X76" i="21"/>
  <c r="V76" i="21"/>
  <c r="AH52" i="22" s="1"/>
  <c r="AB53" i="22" s="1"/>
  <c r="Q76" i="21"/>
  <c r="AF52" i="22" s="1"/>
  <c r="J76" i="21"/>
  <c r="AG70" i="21"/>
  <c r="AG71" i="21"/>
  <c r="S70" i="21"/>
  <c r="S71" i="21"/>
  <c r="AG69" i="21"/>
  <c r="S69" i="21"/>
  <c r="E69" i="21"/>
  <c r="E70" i="21"/>
  <c r="E71" i="21"/>
  <c r="C36" i="21"/>
  <c r="J47" i="21"/>
  <c r="J49" i="21"/>
  <c r="X47" i="21"/>
  <c r="X49" i="21"/>
  <c r="X45" i="21"/>
  <c r="V45" i="21"/>
  <c r="V49" i="22" s="1"/>
  <c r="P50" i="22" s="1"/>
  <c r="Q45" i="21"/>
  <c r="T49" i="22" s="1"/>
  <c r="J45" i="21"/>
  <c r="C4" i="21"/>
  <c r="AG39" i="21"/>
  <c r="AG38" i="21"/>
  <c r="AG37" i="21"/>
  <c r="S39" i="21"/>
  <c r="S38" i="21"/>
  <c r="T35" i="21" s="1"/>
  <c r="U15" i="16" s="1"/>
  <c r="S37" i="21"/>
  <c r="E39" i="21"/>
  <c r="E38" i="21"/>
  <c r="E37" i="21"/>
  <c r="AG6" i="21"/>
  <c r="AG7" i="21"/>
  <c r="AG5" i="21"/>
  <c r="S5" i="21"/>
  <c r="S6" i="21"/>
  <c r="S7" i="21"/>
  <c r="E5" i="21"/>
  <c r="E7" i="21"/>
  <c r="E6" i="21"/>
  <c r="T67" i="21"/>
  <c r="U22" i="16" s="1"/>
  <c r="V49" i="21"/>
  <c r="X49" i="22" s="1"/>
  <c r="Q49" i="21"/>
  <c r="Z49" i="22" s="1"/>
  <c r="P51" i="22" s="1"/>
  <c r="V47" i="21"/>
  <c r="X50" i="22" s="1"/>
  <c r="Q47" i="21"/>
  <c r="Z50" i="22" s="1"/>
  <c r="T51" i="22" s="1"/>
  <c r="V17" i="21"/>
  <c r="L46" i="22" s="1"/>
  <c r="Q17" i="21"/>
  <c r="N46" i="22" s="1"/>
  <c r="D48" i="22" s="1"/>
  <c r="V15" i="21"/>
  <c r="L47" i="22" s="1"/>
  <c r="Q15" i="21"/>
  <c r="N47" i="22" s="1"/>
  <c r="H48" i="22" s="1"/>
  <c r="V13" i="21"/>
  <c r="J46" i="22" s="1"/>
  <c r="D47" i="22" s="1"/>
  <c r="Q13" i="21"/>
  <c r="H46" i="22" s="1"/>
  <c r="X47" i="19"/>
  <c r="X49" i="19"/>
  <c r="X45" i="19"/>
  <c r="J47" i="19"/>
  <c r="J49" i="19"/>
  <c r="AG38" i="19"/>
  <c r="AG39" i="19"/>
  <c r="AG37" i="19"/>
  <c r="S38" i="19"/>
  <c r="S39" i="19"/>
  <c r="S37" i="19"/>
  <c r="E38" i="19"/>
  <c r="E39" i="19"/>
  <c r="E37" i="19"/>
  <c r="C36" i="19"/>
  <c r="X15" i="19"/>
  <c r="X17" i="19"/>
  <c r="X13" i="19"/>
  <c r="J15" i="19"/>
  <c r="J17" i="19"/>
  <c r="J13" i="19"/>
  <c r="AG6" i="19"/>
  <c r="AG7" i="19"/>
  <c r="AG5" i="19"/>
  <c r="S6" i="19"/>
  <c r="S7" i="19"/>
  <c r="S5" i="19"/>
  <c r="E6" i="19"/>
  <c r="E7" i="19"/>
  <c r="E5" i="19"/>
  <c r="T3" i="19" s="1"/>
  <c r="O7" i="16" s="1"/>
  <c r="C4" i="19"/>
  <c r="X78" i="18"/>
  <c r="X80" i="18"/>
  <c r="J78" i="18"/>
  <c r="T66" i="18" s="1"/>
  <c r="I22" i="16" s="1"/>
  <c r="J80" i="18"/>
  <c r="X76" i="18"/>
  <c r="V76" i="18"/>
  <c r="AH24" i="22" s="1"/>
  <c r="AB25" i="22" s="1"/>
  <c r="Q76" i="18"/>
  <c r="AF24" i="22" s="1"/>
  <c r="J76" i="18"/>
  <c r="X47" i="18"/>
  <c r="X49" i="18"/>
  <c r="X45" i="18"/>
  <c r="J47" i="18"/>
  <c r="J49" i="18"/>
  <c r="J45" i="18"/>
  <c r="AG69" i="18"/>
  <c r="AG70" i="18"/>
  <c r="AG68" i="18"/>
  <c r="S69" i="18"/>
  <c r="S70" i="18"/>
  <c r="S68" i="18"/>
  <c r="E69" i="18"/>
  <c r="E70" i="18"/>
  <c r="E68" i="18"/>
  <c r="AG38" i="18"/>
  <c r="AG39" i="18"/>
  <c r="AG37" i="18"/>
  <c r="S38" i="18"/>
  <c r="T35" i="18" s="1"/>
  <c r="I15" i="16" s="1"/>
  <c r="S39" i="18"/>
  <c r="S37" i="18"/>
  <c r="E38" i="18"/>
  <c r="E39" i="18"/>
  <c r="E37" i="18"/>
  <c r="V78" i="19"/>
  <c r="Z35" i="22" s="1"/>
  <c r="T36" i="22" s="1"/>
  <c r="Q78" i="19"/>
  <c r="X35" i="22" s="1"/>
  <c r="V49" i="19"/>
  <c r="AL37" i="22" s="1"/>
  <c r="AB39" i="22" s="1"/>
  <c r="Q49" i="19"/>
  <c r="AJ37" i="22" s="1"/>
  <c r="V47" i="19"/>
  <c r="AH37" i="22" s="1"/>
  <c r="AB38" i="22" s="1"/>
  <c r="Q47" i="19"/>
  <c r="AF37" i="22" s="1"/>
  <c r="V45" i="19"/>
  <c r="AH35" i="22" s="1"/>
  <c r="T38" i="22" s="1"/>
  <c r="Q45" i="19"/>
  <c r="AF35" i="22" s="1"/>
  <c r="T35" i="19"/>
  <c r="O15" i="16" s="1"/>
  <c r="V17" i="19"/>
  <c r="L31" i="22" s="1"/>
  <c r="Q17" i="19"/>
  <c r="N31" i="22" s="1"/>
  <c r="D33" i="22" s="1"/>
  <c r="V15" i="19"/>
  <c r="L32" i="22" s="1"/>
  <c r="Q15" i="19"/>
  <c r="N32" i="22" s="1"/>
  <c r="H33" i="22" s="1"/>
  <c r="V13" i="19"/>
  <c r="J31" i="22" s="1"/>
  <c r="D32" i="22" s="1"/>
  <c r="Q13" i="19"/>
  <c r="H31" i="22" s="1"/>
  <c r="I6" i="16"/>
  <c r="AA6" i="16" s="1"/>
  <c r="G8" i="16" s="1"/>
  <c r="G9" i="16" s="1"/>
  <c r="G10" i="16" s="1"/>
  <c r="C6" i="16"/>
  <c r="Z6" i="16" s="1"/>
  <c r="A8" i="16" s="1"/>
  <c r="A9" i="16" s="1"/>
  <c r="A10" i="16" s="1"/>
  <c r="A11" i="16" s="1"/>
  <c r="O103" i="16"/>
  <c r="O94" i="16"/>
  <c r="O87" i="16"/>
  <c r="O80" i="16"/>
  <c r="O71" i="16"/>
  <c r="O64" i="16"/>
  <c r="O54" i="16"/>
  <c r="AB54" i="16" s="1"/>
  <c r="M56" i="16" s="1"/>
  <c r="M57" i="16" s="1"/>
  <c r="M58" i="16" s="1"/>
  <c r="O45" i="16"/>
  <c r="O38" i="16"/>
  <c r="G130" i="19" s="1"/>
  <c r="O30" i="16"/>
  <c r="O102" i="16"/>
  <c r="O86" i="16"/>
  <c r="O79" i="16"/>
  <c r="O70" i="16"/>
  <c r="O63" i="16"/>
  <c r="O53" i="16"/>
  <c r="O44" i="16"/>
  <c r="O37" i="16"/>
  <c r="O29" i="16"/>
  <c r="C99" i="19" s="1"/>
  <c r="I87" i="16"/>
  <c r="O13" i="16"/>
  <c r="O20" i="16"/>
  <c r="O14" i="16"/>
  <c r="G35" i="19" s="1"/>
  <c r="Q45" i="18"/>
  <c r="T21" i="22" s="1"/>
  <c r="V45" i="18"/>
  <c r="V21" i="22" s="1"/>
  <c r="P22" i="22" s="1"/>
  <c r="Q47" i="18"/>
  <c r="Z22" i="22" s="1"/>
  <c r="T23" i="22" s="1"/>
  <c r="V47" i="18"/>
  <c r="X22" i="22" s="1"/>
  <c r="Q49" i="18"/>
  <c r="Z21" i="22" s="1"/>
  <c r="P23" i="22" s="1"/>
  <c r="V49" i="18"/>
  <c r="X21" i="22" s="1"/>
  <c r="AG7" i="18"/>
  <c r="AG6" i="18"/>
  <c r="S7" i="18"/>
  <c r="AG5" i="18"/>
  <c r="S6" i="18"/>
  <c r="E7" i="18"/>
  <c r="S5" i="18"/>
  <c r="E5" i="18"/>
  <c r="C4" i="18"/>
  <c r="G3" i="18"/>
  <c r="V80" i="18"/>
  <c r="AJ24" i="22" s="1"/>
  <c r="Q80" i="18"/>
  <c r="AL24" i="22" s="1"/>
  <c r="AB26" i="22" s="1"/>
  <c r="V78" i="18"/>
  <c r="AJ25" i="22" s="1"/>
  <c r="Q78" i="18"/>
  <c r="AL25" i="22" s="1"/>
  <c r="AF26" i="22" s="1"/>
  <c r="V17" i="18"/>
  <c r="L18" i="22" s="1"/>
  <c r="Q17" i="18"/>
  <c r="N18" i="22" s="1"/>
  <c r="D20" i="22" s="1"/>
  <c r="V15" i="18"/>
  <c r="L19" i="22" s="1"/>
  <c r="Q15" i="18"/>
  <c r="N19" i="22" s="1"/>
  <c r="H20" i="22" s="1"/>
  <c r="V13" i="18"/>
  <c r="J18" i="22" s="1"/>
  <c r="D19" i="22" s="1"/>
  <c r="Q13" i="18"/>
  <c r="H18" i="22" s="1"/>
  <c r="AG35" i="4"/>
  <c r="AM35" i="4" s="1"/>
  <c r="S37" i="4"/>
  <c r="T35" i="4"/>
  <c r="C15" i="16" s="1"/>
  <c r="V80" i="4"/>
  <c r="AN11" i="22" s="1"/>
  <c r="Q80" i="4"/>
  <c r="AP11" i="22" s="1"/>
  <c r="AF13" i="22" s="1"/>
  <c r="V78" i="4"/>
  <c r="AN12" i="22" s="1"/>
  <c r="Q78" i="4"/>
  <c r="AP12" i="22" s="1"/>
  <c r="AJ13" i="22" s="1"/>
  <c r="E71" i="4"/>
  <c r="AG70" i="4"/>
  <c r="S70" i="4"/>
  <c r="E70" i="4"/>
  <c r="AG69" i="4"/>
  <c r="S69" i="4"/>
  <c r="E69" i="4"/>
  <c r="AG68" i="4"/>
  <c r="S68" i="4"/>
  <c r="E68" i="4"/>
  <c r="C67" i="4"/>
  <c r="S39" i="4"/>
  <c r="C36" i="4"/>
  <c r="G3" i="4"/>
  <c r="C5" i="16"/>
  <c r="C4" i="4" s="1"/>
  <c r="V49" i="4"/>
  <c r="AD8" i="22" s="1"/>
  <c r="T10" i="22" s="1"/>
  <c r="Q49" i="4"/>
  <c r="AB8" i="22" s="1"/>
  <c r="V47" i="4"/>
  <c r="AD9" i="22" s="1"/>
  <c r="X10" i="22" s="1"/>
  <c r="Q47" i="4"/>
  <c r="AB9" i="22" s="1"/>
  <c r="AG39" i="4"/>
  <c r="AG38" i="4"/>
  <c r="E40" i="4"/>
  <c r="AG37" i="4"/>
  <c r="E39" i="4"/>
  <c r="E38" i="4"/>
  <c r="S38" i="4"/>
  <c r="E37" i="4"/>
  <c r="X19" i="4"/>
  <c r="J19" i="4"/>
  <c r="C102" i="16"/>
  <c r="H100" i="16"/>
  <c r="F100" i="16"/>
  <c r="H105" i="16"/>
  <c r="H106" i="16" s="1"/>
  <c r="H107" i="16" s="1"/>
  <c r="N112" i="16"/>
  <c r="N113" i="16" s="1"/>
  <c r="N114" i="16" s="1"/>
  <c r="AB117" i="16"/>
  <c r="M119" i="16" s="1"/>
  <c r="M120" i="16" s="1"/>
  <c r="M121" i="16" s="1"/>
  <c r="T112" i="16"/>
  <c r="T113" i="16" s="1"/>
  <c r="T114" i="16" s="1"/>
  <c r="T119" i="16"/>
  <c r="T120" i="16" s="1"/>
  <c r="T121" i="16" s="1"/>
  <c r="AA10" i="3"/>
  <c r="Z10" i="3"/>
  <c r="Y10" i="3"/>
  <c r="X10" i="3"/>
  <c r="W10" i="3"/>
  <c r="V10" i="3"/>
  <c r="U10" i="3"/>
  <c r="T10" i="3"/>
  <c r="Z9" i="3"/>
  <c r="Y9" i="3"/>
  <c r="X9" i="3"/>
  <c r="W9" i="3"/>
  <c r="V9" i="3"/>
  <c r="U9" i="3"/>
  <c r="T9" i="3"/>
  <c r="Y8" i="3"/>
  <c r="X8" i="3"/>
  <c r="W8" i="3"/>
  <c r="V8" i="3"/>
  <c r="U8" i="3"/>
  <c r="T8" i="3"/>
  <c r="X7" i="3"/>
  <c r="W7" i="3"/>
  <c r="V7" i="3"/>
  <c r="U7" i="3"/>
  <c r="T7" i="3"/>
  <c r="AD7" i="3" s="1"/>
  <c r="W6" i="3"/>
  <c r="V6" i="3"/>
  <c r="U6" i="3"/>
  <c r="T6" i="3"/>
  <c r="AD6" i="3" s="1"/>
  <c r="V5" i="3"/>
  <c r="U5" i="3"/>
  <c r="T5" i="3"/>
  <c r="U4" i="3"/>
  <c r="T4" i="3"/>
  <c r="J11" i="3"/>
  <c r="I10" i="3"/>
  <c r="I11" i="3"/>
  <c r="H9" i="3"/>
  <c r="H10" i="3"/>
  <c r="H11" i="3"/>
  <c r="G8" i="3"/>
  <c r="G9" i="3"/>
  <c r="G10" i="3"/>
  <c r="G11" i="3"/>
  <c r="F7" i="3"/>
  <c r="F8" i="3"/>
  <c r="F9" i="3"/>
  <c r="F10" i="3"/>
  <c r="F11" i="3"/>
  <c r="E6" i="3"/>
  <c r="E7" i="3"/>
  <c r="E8" i="3"/>
  <c r="D8" i="3"/>
  <c r="B8" i="3"/>
  <c r="C8" i="3"/>
  <c r="E9" i="3"/>
  <c r="E10" i="3"/>
  <c r="E11" i="3"/>
  <c r="D5" i="3"/>
  <c r="D6" i="3"/>
  <c r="D7" i="3"/>
  <c r="D9" i="3"/>
  <c r="D10" i="3"/>
  <c r="D11" i="3"/>
  <c r="C4" i="3"/>
  <c r="B4" i="3"/>
  <c r="C5" i="3"/>
  <c r="B5" i="3"/>
  <c r="C6" i="3"/>
  <c r="B6" i="3"/>
  <c r="C7" i="3"/>
  <c r="B7" i="3"/>
  <c r="C9" i="3"/>
  <c r="B9" i="3"/>
  <c r="C10" i="3"/>
  <c r="C11" i="3"/>
  <c r="B11" i="3"/>
  <c r="B10" i="3"/>
  <c r="B3" i="3"/>
  <c r="S7" i="4"/>
  <c r="AG5" i="4"/>
  <c r="AG6" i="4"/>
  <c r="AG7" i="4"/>
  <c r="S6" i="4"/>
  <c r="E6" i="4"/>
  <c r="T3" i="4" s="1"/>
  <c r="C7" i="16" s="1"/>
  <c r="S5" i="4"/>
  <c r="E8" i="4"/>
  <c r="E7" i="4"/>
  <c r="E5" i="4"/>
  <c r="U94" i="16"/>
  <c r="AC94" i="16" s="1"/>
  <c r="S96" i="16" s="1"/>
  <c r="S97" i="16" s="1"/>
  <c r="S98" i="16" s="1"/>
  <c r="I94" i="16"/>
  <c r="AA94" i="16" s="1"/>
  <c r="U87" i="16"/>
  <c r="U80" i="16"/>
  <c r="I80" i="16"/>
  <c r="U71" i="16"/>
  <c r="I71" i="16"/>
  <c r="U64" i="16"/>
  <c r="AC64" i="16" s="1"/>
  <c r="S66" i="16" s="1"/>
  <c r="S67" i="16" s="1"/>
  <c r="S68" i="16" s="1"/>
  <c r="I64" i="16"/>
  <c r="AA64" i="16" s="1"/>
  <c r="G66" i="16" s="1"/>
  <c r="G67" i="16" s="1"/>
  <c r="G68" i="16" s="1"/>
  <c r="U54" i="16"/>
  <c r="I54" i="16"/>
  <c r="U45" i="16"/>
  <c r="I45" i="16"/>
  <c r="U38" i="16"/>
  <c r="I38" i="16"/>
  <c r="U30" i="16"/>
  <c r="I30" i="16"/>
  <c r="U21" i="16"/>
  <c r="G67" i="21" s="1"/>
  <c r="O21" i="16"/>
  <c r="G67" i="19" s="1"/>
  <c r="I21" i="16"/>
  <c r="AA21" i="16" s="1"/>
  <c r="H23" i="16" s="1"/>
  <c r="H24" i="16" s="1"/>
  <c r="H25" i="16" s="1"/>
  <c r="U14" i="16"/>
  <c r="G35" i="21" s="1"/>
  <c r="I14" i="16"/>
  <c r="U6" i="16"/>
  <c r="G3" i="21" s="1"/>
  <c r="O6" i="16"/>
  <c r="I5" i="16"/>
  <c r="U93" i="16"/>
  <c r="I93" i="16"/>
  <c r="U86" i="16"/>
  <c r="I86" i="16"/>
  <c r="U79" i="16"/>
  <c r="I79" i="16"/>
  <c r="H77" i="16"/>
  <c r="F77" i="16"/>
  <c r="U70" i="16"/>
  <c r="I70" i="16"/>
  <c r="U63" i="16"/>
  <c r="I63" i="16"/>
  <c r="C93" i="16"/>
  <c r="C70" i="16"/>
  <c r="C63" i="16"/>
  <c r="U53" i="16"/>
  <c r="I53" i="16"/>
  <c r="C53" i="16"/>
  <c r="H51" i="16"/>
  <c r="F51" i="16"/>
  <c r="U44" i="16"/>
  <c r="I44" i="16"/>
  <c r="C44" i="16"/>
  <c r="U37" i="16"/>
  <c r="I37" i="16"/>
  <c r="U29" i="16"/>
  <c r="I29" i="16"/>
  <c r="H27" i="16"/>
  <c r="H3" i="16"/>
  <c r="U20" i="16"/>
  <c r="I20" i="16"/>
  <c r="C20" i="16"/>
  <c r="U13" i="16"/>
  <c r="I13" i="16"/>
  <c r="C13" i="16"/>
  <c r="U5" i="16"/>
  <c r="O5" i="16"/>
  <c r="AB14" i="16"/>
  <c r="M16" i="16" s="1"/>
  <c r="M17" i="16" s="1"/>
  <c r="M18" i="16" s="1"/>
  <c r="V19" i="4"/>
  <c r="R5" i="22" s="1"/>
  <c r="Q19" i="4"/>
  <c r="P5" i="22" s="1"/>
  <c r="V17" i="4"/>
  <c r="Q17" i="4"/>
  <c r="N4" i="22" s="1"/>
  <c r="D6" i="22" s="1"/>
  <c r="V15" i="4"/>
  <c r="Q15" i="4"/>
  <c r="P6" i="22" s="1"/>
  <c r="AG67" i="21"/>
  <c r="AM67" i="21" s="1"/>
  <c r="AG3" i="21"/>
  <c r="AM3" i="21" s="1"/>
  <c r="AG66" i="18"/>
  <c r="AM66" i="18" s="1"/>
  <c r="AG67" i="19"/>
  <c r="AM67" i="19" s="1"/>
  <c r="B23" i="16"/>
  <c r="C76" i="4" s="1"/>
  <c r="AG35" i="18"/>
  <c r="AM35" i="18" s="1"/>
  <c r="H119" i="16"/>
  <c r="H120" i="16" s="1"/>
  <c r="H121" i="16" s="1"/>
  <c r="T105" i="16"/>
  <c r="T106" i="16" s="1"/>
  <c r="T107" i="16" s="1"/>
  <c r="H112" i="16"/>
  <c r="H113" i="16" s="1"/>
  <c r="H114" i="16" s="1"/>
  <c r="J13" i="18"/>
  <c r="X17" i="18"/>
  <c r="J17" i="18"/>
  <c r="X15" i="18"/>
  <c r="X13" i="18"/>
  <c r="J15" i="18"/>
  <c r="B238" i="21"/>
  <c r="B368" i="21"/>
  <c r="B240" i="21"/>
  <c r="B236" i="21"/>
  <c r="B366" i="21"/>
  <c r="B364" i="21"/>
  <c r="AC45" i="16" l="1"/>
  <c r="S47" i="16" s="1"/>
  <c r="S48" i="16" s="1"/>
  <c r="S49" i="16" s="1"/>
  <c r="G162" i="21"/>
  <c r="AC54" i="16"/>
  <c r="S56" i="16" s="1"/>
  <c r="G194" i="21"/>
  <c r="AA30" i="16"/>
  <c r="G32" i="16" s="1"/>
  <c r="G33" i="16" s="1"/>
  <c r="G34" i="16" s="1"/>
  <c r="G98" i="18"/>
  <c r="AD5" i="3"/>
  <c r="AB45" i="16"/>
  <c r="M47" i="16" s="1"/>
  <c r="G162" i="19"/>
  <c r="AB64" i="16"/>
  <c r="M66" i="16" s="1"/>
  <c r="G226" i="19"/>
  <c r="AI368" i="21"/>
  <c r="AI364" i="21"/>
  <c r="AI366" i="21"/>
  <c r="J48" i="22"/>
  <c r="G48" i="22" s="1"/>
  <c r="K47" i="22"/>
  <c r="V51" i="22"/>
  <c r="S51" i="22" s="1"/>
  <c r="W50" i="22"/>
  <c r="AI53" i="22"/>
  <c r="AH54" i="22"/>
  <c r="AE54" i="22" s="1"/>
  <c r="AD54" i="22"/>
  <c r="AA54" i="22" s="1"/>
  <c r="AI52" i="22"/>
  <c r="F47" i="22"/>
  <c r="C47" i="22" s="1"/>
  <c r="G46" i="22"/>
  <c r="R50" i="22"/>
  <c r="O50" i="22" s="1"/>
  <c r="S49" i="22"/>
  <c r="K46" i="22"/>
  <c r="F48" i="22"/>
  <c r="C48" i="22" s="1"/>
  <c r="R51" i="22"/>
  <c r="O51" i="22" s="1"/>
  <c r="W49" i="22"/>
  <c r="AW47" i="22"/>
  <c r="Z11" i="22"/>
  <c r="AW20" i="22"/>
  <c r="AW50" i="22"/>
  <c r="AW32" i="22"/>
  <c r="Z37" i="22"/>
  <c r="AW33" i="22"/>
  <c r="AW34" i="22"/>
  <c r="AW48" i="22"/>
  <c r="AW18" i="22"/>
  <c r="AV18" i="22" s="1"/>
  <c r="AW21" i="22"/>
  <c r="AW31" i="22"/>
  <c r="AV31" i="22" s="1"/>
  <c r="AW35" i="22"/>
  <c r="AW49" i="22"/>
  <c r="AW46" i="22"/>
  <c r="AV46" i="22" s="1"/>
  <c r="AW51" i="22"/>
  <c r="AW6" i="22"/>
  <c r="G35" i="4"/>
  <c r="AG97" i="4"/>
  <c r="AM97" i="4" s="1"/>
  <c r="T96" i="16"/>
  <c r="AG160" i="4"/>
  <c r="AM160" i="4" s="1"/>
  <c r="G66" i="4"/>
  <c r="AC21" i="16"/>
  <c r="S23" i="16" s="1"/>
  <c r="S24" i="16" s="1"/>
  <c r="S25" i="16" s="1"/>
  <c r="G129" i="18"/>
  <c r="AA38" i="16"/>
  <c r="G40" i="16" s="1"/>
  <c r="G41" i="16" s="1"/>
  <c r="G42" i="16" s="1"/>
  <c r="G190" i="18"/>
  <c r="AA54" i="16"/>
  <c r="G56" i="16" s="1"/>
  <c r="G57" i="16" s="1"/>
  <c r="G58" i="16" s="1"/>
  <c r="G251" i="18"/>
  <c r="AA71" i="16"/>
  <c r="G322" i="21"/>
  <c r="AC87" i="16"/>
  <c r="S89" i="16" s="1"/>
  <c r="G322" i="19"/>
  <c r="AB87" i="16"/>
  <c r="M89" i="16" s="1"/>
  <c r="M90" i="16" s="1"/>
  <c r="M91" i="16" s="1"/>
  <c r="Z54" i="16"/>
  <c r="A56" i="16" s="1"/>
  <c r="A57" i="16" s="1"/>
  <c r="A58" i="16" s="1"/>
  <c r="A59" i="16" s="1"/>
  <c r="AA14" i="16"/>
  <c r="AC14" i="16"/>
  <c r="T16" i="16" s="1"/>
  <c r="T17" i="16" s="1"/>
  <c r="T18" i="16" s="1"/>
  <c r="G130" i="21"/>
  <c r="AC38" i="16"/>
  <c r="G258" i="21"/>
  <c r="AC71" i="16"/>
  <c r="S73" i="16" s="1"/>
  <c r="G98" i="19"/>
  <c r="AB30" i="16"/>
  <c r="M32" i="16" s="1"/>
  <c r="G354" i="19"/>
  <c r="AB94" i="16"/>
  <c r="M96" i="16" s="1"/>
  <c r="Z103" i="16"/>
  <c r="B105" i="16" s="1"/>
  <c r="B106" i="16" s="1"/>
  <c r="B107" i="16" s="1"/>
  <c r="G409" i="4"/>
  <c r="Z110" i="16"/>
  <c r="Z117" i="16"/>
  <c r="A119" i="16" s="1"/>
  <c r="A120" i="16" s="1"/>
  <c r="A121" i="16" s="1"/>
  <c r="G129" i="4"/>
  <c r="Z38" i="16"/>
  <c r="Z71" i="16"/>
  <c r="A73" i="16" s="1"/>
  <c r="A74" i="16" s="1"/>
  <c r="A75" i="16" s="1"/>
  <c r="N16" i="16"/>
  <c r="N17" i="16" s="1"/>
  <c r="N18" i="16" s="1"/>
  <c r="G160" i="18"/>
  <c r="AA45" i="16"/>
  <c r="G282" i="18"/>
  <c r="AA80" i="16"/>
  <c r="G82" i="16" s="1"/>
  <c r="G83" i="16" s="1"/>
  <c r="G84" i="16" s="1"/>
  <c r="G312" i="18"/>
  <c r="AA87" i="16"/>
  <c r="G89" i="16" s="1"/>
  <c r="G90" i="16" s="1"/>
  <c r="G91" i="16" s="1"/>
  <c r="AB38" i="16"/>
  <c r="G258" i="19"/>
  <c r="AB71" i="16"/>
  <c r="M73" i="16" s="1"/>
  <c r="G386" i="19"/>
  <c r="AB103" i="16"/>
  <c r="M105" i="16" s="1"/>
  <c r="AB21" i="16"/>
  <c r="M23" i="16" s="1"/>
  <c r="M24" i="16" s="1"/>
  <c r="M25" i="16" s="1"/>
  <c r="N56" i="16"/>
  <c r="N57" i="16" s="1"/>
  <c r="N58" i="16" s="1"/>
  <c r="G98" i="21"/>
  <c r="AC30" i="16"/>
  <c r="S32" i="16" s="1"/>
  <c r="S33" i="16" s="1"/>
  <c r="S34" i="16" s="1"/>
  <c r="G290" i="21"/>
  <c r="AC80" i="16"/>
  <c r="S82" i="16" s="1"/>
  <c r="G290" i="19"/>
  <c r="AB80" i="16"/>
  <c r="M82" i="16" s="1"/>
  <c r="G97" i="4"/>
  <c r="Z30" i="16"/>
  <c r="N119" i="16"/>
  <c r="N120" i="16" s="1"/>
  <c r="N121" i="16" s="1"/>
  <c r="G378" i="4"/>
  <c r="S40" i="16"/>
  <c r="S41" i="16" s="1"/>
  <c r="S42" i="16" s="1"/>
  <c r="G254" i="4"/>
  <c r="B24" i="16"/>
  <c r="B25" i="16" s="1"/>
  <c r="C80" i="4" s="1"/>
  <c r="AD53" i="22"/>
  <c r="AA53" i="22" s="1"/>
  <c r="AE52" i="22"/>
  <c r="AD8" i="3"/>
  <c r="AD10" i="3"/>
  <c r="Z36" i="3"/>
  <c r="Z29" i="3"/>
  <c r="Z22" i="3"/>
  <c r="Z24" i="3"/>
  <c r="AD3" i="3"/>
  <c r="Z35" i="3"/>
  <c r="Z28" i="3"/>
  <c r="Z18" i="3"/>
  <c r="Z34" i="3"/>
  <c r="Z17" i="3"/>
  <c r="Z30" i="3"/>
  <c r="Z23" i="3"/>
  <c r="Z25" i="3" s="1"/>
  <c r="Z16" i="3"/>
  <c r="AD4" i="3"/>
  <c r="AD9" i="3"/>
  <c r="M6" i="3"/>
  <c r="M4" i="3"/>
  <c r="M9" i="3"/>
  <c r="M8" i="3"/>
  <c r="M10" i="3"/>
  <c r="M11" i="3"/>
  <c r="M7" i="3"/>
  <c r="M5" i="3"/>
  <c r="J24" i="3"/>
  <c r="J31" i="3"/>
  <c r="J40" i="3"/>
  <c r="M3" i="3"/>
  <c r="J23" i="3"/>
  <c r="J37" i="3"/>
  <c r="J18" i="3"/>
  <c r="J25" i="3"/>
  <c r="J35" i="3"/>
  <c r="J41" i="3"/>
  <c r="J17" i="3"/>
  <c r="J19" i="3"/>
  <c r="J29" i="3"/>
  <c r="J36" i="3"/>
  <c r="J42" i="3"/>
  <c r="J30" i="3"/>
  <c r="N50" i="22"/>
  <c r="K50" i="22" s="1"/>
  <c r="S48" i="22"/>
  <c r="L52" i="22"/>
  <c r="K52" i="22" s="1"/>
  <c r="AA48" i="22"/>
  <c r="T52" i="22"/>
  <c r="S52" i="22" s="1"/>
  <c r="AA50" i="22"/>
  <c r="P52" i="22"/>
  <c r="AA49" i="22"/>
  <c r="O46" i="22"/>
  <c r="F49" i="22"/>
  <c r="D52" i="22"/>
  <c r="C52" i="22" s="1"/>
  <c r="AA46" i="22"/>
  <c r="J50" i="22"/>
  <c r="S47" i="22"/>
  <c r="H53" i="22"/>
  <c r="G53" i="22" s="1"/>
  <c r="AE47" i="22"/>
  <c r="T53" i="22"/>
  <c r="S53" i="22" s="1"/>
  <c r="AE50" i="22"/>
  <c r="W48" i="22"/>
  <c r="N51" i="22"/>
  <c r="K51" i="22" s="1"/>
  <c r="AI48" i="22"/>
  <c r="L54" i="22"/>
  <c r="K54" i="22" s="1"/>
  <c r="X54" i="22"/>
  <c r="AI51" i="22"/>
  <c r="F50" i="22"/>
  <c r="S46" i="22"/>
  <c r="D54" i="22"/>
  <c r="C54" i="22" s="1"/>
  <c r="AI46" i="22"/>
  <c r="T54" i="22"/>
  <c r="S54" i="22" s="1"/>
  <c r="AI50" i="22"/>
  <c r="X52" i="22"/>
  <c r="W52" i="22" s="1"/>
  <c r="AA51" i="22"/>
  <c r="J51" i="22"/>
  <c r="G51" i="22" s="1"/>
  <c r="W47" i="22"/>
  <c r="H52" i="22"/>
  <c r="AA47" i="22"/>
  <c r="AE49" i="22"/>
  <c r="P53" i="22"/>
  <c r="O53" i="22" s="1"/>
  <c r="N49" i="22"/>
  <c r="K49" i="22" s="1"/>
  <c r="O48" i="22"/>
  <c r="L53" i="22"/>
  <c r="K53" i="22" s="1"/>
  <c r="AE48" i="22"/>
  <c r="F51" i="22"/>
  <c r="W46" i="22"/>
  <c r="D53" i="22"/>
  <c r="AE46" i="22"/>
  <c r="AE51" i="22"/>
  <c r="X53" i="22"/>
  <c r="O47" i="22"/>
  <c r="J49" i="22"/>
  <c r="AI47" i="22"/>
  <c r="H54" i="22"/>
  <c r="P54" i="22"/>
  <c r="O54" i="22" s="1"/>
  <c r="AI49" i="22"/>
  <c r="J11" i="22"/>
  <c r="AE6" i="22"/>
  <c r="AN4" i="22"/>
  <c r="F13" i="22" s="1"/>
  <c r="AP4" i="22"/>
  <c r="D13" i="22" s="1"/>
  <c r="AW13" i="22" s="1"/>
  <c r="AH4" i="22"/>
  <c r="D11" i="22" s="1"/>
  <c r="AW11" i="22" s="1"/>
  <c r="P4" i="22"/>
  <c r="O4" i="22" s="1"/>
  <c r="G11" i="22"/>
  <c r="R35" i="22"/>
  <c r="O35" i="22" s="1"/>
  <c r="S34" i="22"/>
  <c r="AJ38" i="22"/>
  <c r="AH39" i="22" s="1"/>
  <c r="Z34" i="22"/>
  <c r="L39" i="22"/>
  <c r="K39" i="22" s="1"/>
  <c r="AI33" i="22"/>
  <c r="N36" i="22"/>
  <c r="K36" i="22" s="1"/>
  <c r="W33" i="22"/>
  <c r="AF39" i="22"/>
  <c r="AE39" i="22" s="1"/>
  <c r="H38" i="22"/>
  <c r="G38" i="22" s="1"/>
  <c r="AE32" i="22"/>
  <c r="J35" i="22"/>
  <c r="G35" i="22" s="1"/>
  <c r="S32" i="22"/>
  <c r="P37" i="22"/>
  <c r="O37" i="22" s="1"/>
  <c r="AA34" i="22"/>
  <c r="F34" i="22"/>
  <c r="C34" i="22" s="1"/>
  <c r="O31" i="22"/>
  <c r="D37" i="22"/>
  <c r="C37" i="22" s="1"/>
  <c r="AA31" i="22"/>
  <c r="T37" i="22"/>
  <c r="S37" i="22" s="1"/>
  <c r="AA35" i="22"/>
  <c r="N35" i="22"/>
  <c r="K35" i="22" s="1"/>
  <c r="S33" i="22"/>
  <c r="L37" i="22"/>
  <c r="K37" i="22" s="1"/>
  <c r="AA33" i="22"/>
  <c r="P39" i="22"/>
  <c r="O39" i="22" s="1"/>
  <c r="AI34" i="22"/>
  <c r="J34" i="22"/>
  <c r="G34" i="22" s="1"/>
  <c r="O32" i="22"/>
  <c r="H39" i="22"/>
  <c r="G39" i="22" s="1"/>
  <c r="AI32" i="22"/>
  <c r="W31" i="22"/>
  <c r="F36" i="22"/>
  <c r="C36" i="22" s="1"/>
  <c r="D38" i="22"/>
  <c r="C38" i="22" s="1"/>
  <c r="AE31" i="22"/>
  <c r="X38" i="22"/>
  <c r="W38" i="22" s="1"/>
  <c r="AE36" i="22"/>
  <c r="N34" i="22"/>
  <c r="O33" i="22"/>
  <c r="L38" i="22"/>
  <c r="K38" i="22" s="1"/>
  <c r="AE33" i="22"/>
  <c r="P38" i="22"/>
  <c r="AE34" i="22"/>
  <c r="X37" i="22"/>
  <c r="AA36" i="22"/>
  <c r="J36" i="22"/>
  <c r="W32" i="22"/>
  <c r="H37" i="22"/>
  <c r="G37" i="22" s="1"/>
  <c r="AA32" i="22"/>
  <c r="T39" i="22"/>
  <c r="AI35" i="22"/>
  <c r="S31" i="22"/>
  <c r="F35" i="22"/>
  <c r="AI31" i="22"/>
  <c r="D39" i="22"/>
  <c r="C39" i="22" s="1"/>
  <c r="AI36" i="22"/>
  <c r="X39" i="22"/>
  <c r="W39" i="22" s="1"/>
  <c r="W35" i="22"/>
  <c r="V36" i="22"/>
  <c r="AE35" i="22"/>
  <c r="V38" i="22"/>
  <c r="AD39" i="22"/>
  <c r="AI37" i="22"/>
  <c r="AE37" i="22"/>
  <c r="AD38" i="22"/>
  <c r="AA38" i="22" s="1"/>
  <c r="K31" i="22"/>
  <c r="F33" i="22"/>
  <c r="K32" i="22"/>
  <c r="J33" i="22"/>
  <c r="G33" i="22" s="1"/>
  <c r="G31" i="22"/>
  <c r="F32" i="22"/>
  <c r="C32" i="22" s="1"/>
  <c r="AE23" i="22"/>
  <c r="X25" i="22"/>
  <c r="W25" i="22" s="1"/>
  <c r="N24" i="22"/>
  <c r="K24" i="22" s="1"/>
  <c r="AA20" i="22"/>
  <c r="F25" i="22"/>
  <c r="AE18" i="22"/>
  <c r="N22" i="22"/>
  <c r="K22" i="22" s="1"/>
  <c r="S20" i="22"/>
  <c r="C25" i="22"/>
  <c r="V24" i="22"/>
  <c r="S24" i="22" s="1"/>
  <c r="AA22" i="22"/>
  <c r="J26" i="22"/>
  <c r="G26" i="22" s="1"/>
  <c r="AI19" i="22"/>
  <c r="R26" i="22"/>
  <c r="O26" i="22" s="1"/>
  <c r="AI21" i="22"/>
  <c r="O19" i="22"/>
  <c r="J21" i="22"/>
  <c r="G21" i="22" s="1"/>
  <c r="V25" i="22"/>
  <c r="S25" i="22" s="1"/>
  <c r="AE22" i="22"/>
  <c r="AE19" i="22"/>
  <c r="H25" i="22"/>
  <c r="G25" i="22" s="1"/>
  <c r="AE20" i="22"/>
  <c r="N25" i="22"/>
  <c r="K25" i="22" s="1"/>
  <c r="O20" i="22"/>
  <c r="N21" i="22"/>
  <c r="K21" i="22" s="1"/>
  <c r="AE21" i="22"/>
  <c r="R25" i="22"/>
  <c r="O25" i="22" s="1"/>
  <c r="Z19" i="22"/>
  <c r="H23" i="22" s="1"/>
  <c r="AA19" i="22"/>
  <c r="H24" i="22"/>
  <c r="G24" i="22" s="1"/>
  <c r="Z24" i="22"/>
  <c r="W24" i="22" s="1"/>
  <c r="AA23" i="22"/>
  <c r="D23" i="22"/>
  <c r="C23" i="22" s="1"/>
  <c r="W18" i="22"/>
  <c r="J23" i="22"/>
  <c r="W19" i="22"/>
  <c r="T19" i="22"/>
  <c r="V26" i="22"/>
  <c r="S26" i="22" s="1"/>
  <c r="AI22" i="22"/>
  <c r="F26" i="22"/>
  <c r="C26" i="22" s="1"/>
  <c r="AI18" i="22"/>
  <c r="F22" i="22"/>
  <c r="C22" i="22" s="1"/>
  <c r="S18" i="22"/>
  <c r="N26" i="22"/>
  <c r="AL20" i="22"/>
  <c r="L26" i="22" s="1"/>
  <c r="N23" i="22"/>
  <c r="W20" i="22"/>
  <c r="F24" i="22"/>
  <c r="C24" i="22" s="1"/>
  <c r="AA18" i="22"/>
  <c r="AA21" i="22"/>
  <c r="P24" i="22"/>
  <c r="F21" i="22"/>
  <c r="O18" i="22"/>
  <c r="R23" i="22"/>
  <c r="O23" i="22" s="1"/>
  <c r="W21" i="22"/>
  <c r="AH26" i="22"/>
  <c r="AE26" i="22" s="1"/>
  <c r="AI25" i="22"/>
  <c r="AI24" i="22"/>
  <c r="AD26" i="22"/>
  <c r="AA26" i="22" s="1"/>
  <c r="S21" i="22"/>
  <c r="R22" i="22"/>
  <c r="O22" i="22" s="1"/>
  <c r="V23" i="22"/>
  <c r="S23" i="22" s="1"/>
  <c r="W22" i="22"/>
  <c r="AE24" i="22"/>
  <c r="AD25" i="22"/>
  <c r="AA25" i="22" s="1"/>
  <c r="F20" i="22"/>
  <c r="C20" i="22" s="1"/>
  <c r="K18" i="22"/>
  <c r="J20" i="22"/>
  <c r="K19" i="22"/>
  <c r="F19" i="22"/>
  <c r="C19" i="22" s="1"/>
  <c r="G18" i="22"/>
  <c r="K11" i="22"/>
  <c r="Z5" i="22"/>
  <c r="W5" i="22" s="1"/>
  <c r="AE7" i="22"/>
  <c r="AE10" i="22"/>
  <c r="AM7" i="22"/>
  <c r="R11" i="22"/>
  <c r="O11" i="22" s="1"/>
  <c r="P12" i="22"/>
  <c r="AL6" i="22"/>
  <c r="T73" i="16"/>
  <c r="G440" i="4"/>
  <c r="T56" i="16"/>
  <c r="N89" i="16"/>
  <c r="N90" i="16" s="1"/>
  <c r="N91" i="16" s="1"/>
  <c r="G220" i="18"/>
  <c r="H66" i="16"/>
  <c r="H67" i="16" s="1"/>
  <c r="H68" i="16" s="1"/>
  <c r="B66" i="16"/>
  <c r="B67" i="16" s="1"/>
  <c r="B68" i="16" s="1"/>
  <c r="G223" i="4"/>
  <c r="G191" i="4"/>
  <c r="T47" i="16"/>
  <c r="T48" i="16" s="1"/>
  <c r="T49" i="16" s="1"/>
  <c r="N73" i="16"/>
  <c r="N66" i="16"/>
  <c r="H40" i="16"/>
  <c r="H41" i="16" s="1"/>
  <c r="H42" i="16" s="1"/>
  <c r="AM10" i="22"/>
  <c r="J9" i="22"/>
  <c r="AA13" i="22"/>
  <c r="AI11" i="22"/>
  <c r="AH12" i="22"/>
  <c r="AE12" i="22" s="1"/>
  <c r="AD11" i="22"/>
  <c r="AA11" i="22" s="1"/>
  <c r="S9" i="22"/>
  <c r="W8" i="22"/>
  <c r="D10" i="22"/>
  <c r="AW10" i="22" s="1"/>
  <c r="J4" i="22"/>
  <c r="D5" i="22" s="1"/>
  <c r="AW5" i="22" s="1"/>
  <c r="D8" i="22"/>
  <c r="D9" i="22"/>
  <c r="AM9" i="22"/>
  <c r="F12" i="22"/>
  <c r="G3" i="19"/>
  <c r="AB6" i="16"/>
  <c r="M8" i="16" s="1"/>
  <c r="M9" i="16" s="1"/>
  <c r="M10" i="16" s="1"/>
  <c r="S7" i="22"/>
  <c r="R8" i="22"/>
  <c r="O8" i="22" s="1"/>
  <c r="G194" i="19"/>
  <c r="H12" i="22"/>
  <c r="B16" i="16"/>
  <c r="G285" i="4"/>
  <c r="G316" i="4"/>
  <c r="B8" i="16"/>
  <c r="T23" i="16"/>
  <c r="J7" i="22"/>
  <c r="N47" i="16"/>
  <c r="G226" i="21"/>
  <c r="G96" i="16"/>
  <c r="G97" i="16" s="1"/>
  <c r="G98" i="16" s="1"/>
  <c r="G343" i="18"/>
  <c r="AH13" i="22"/>
  <c r="AE13" i="22" s="1"/>
  <c r="AM11" i="22"/>
  <c r="H8" i="16"/>
  <c r="D7" i="22"/>
  <c r="AG66" i="4"/>
  <c r="AM66" i="4" s="1"/>
  <c r="AG3" i="4"/>
  <c r="AM3" i="4" s="1"/>
  <c r="AG35" i="21"/>
  <c r="AM35" i="21" s="1"/>
  <c r="AG35" i="19"/>
  <c r="AM35" i="19" s="1"/>
  <c r="AG3" i="18"/>
  <c r="AM3" i="18" s="1"/>
  <c r="AG3" i="19"/>
  <c r="AM3" i="19" s="1"/>
  <c r="H32" i="16"/>
  <c r="B73" i="16"/>
  <c r="N7" i="22"/>
  <c r="G23" i="16"/>
  <c r="G24" i="16" s="1"/>
  <c r="G25" i="16" s="1"/>
  <c r="X12" i="22"/>
  <c r="A16" i="16"/>
  <c r="A17" i="16" s="1"/>
  <c r="A18" i="16" s="1"/>
  <c r="G160" i="4"/>
  <c r="L9" i="22"/>
  <c r="L8" i="22"/>
  <c r="R6" i="22"/>
  <c r="L7" i="22" s="1"/>
  <c r="H7" i="22"/>
  <c r="S5" i="22"/>
  <c r="J8" i="22"/>
  <c r="G8" i="22" s="1"/>
  <c r="G73" i="16"/>
  <c r="G74" i="16" s="1"/>
  <c r="G75" i="16" s="1"/>
  <c r="G354" i="21"/>
  <c r="AM12" i="22"/>
  <c r="AL13" i="22"/>
  <c r="AI13" i="22" s="1"/>
  <c r="AA6" i="22"/>
  <c r="N10" i="22"/>
  <c r="AI8" i="22"/>
  <c r="V12" i="22"/>
  <c r="V10" i="22"/>
  <c r="S10" i="22" s="1"/>
  <c r="AA8" i="22"/>
  <c r="N13" i="22"/>
  <c r="K13" i="22" s="1"/>
  <c r="AM6" i="22"/>
  <c r="O13" i="22"/>
  <c r="T12" i="22"/>
  <c r="AC6" i="16"/>
  <c r="S8" i="16" s="1"/>
  <c r="S9" i="16" s="1"/>
  <c r="S10" i="16" s="1"/>
  <c r="L4" i="22"/>
  <c r="AA9" i="22"/>
  <c r="Z10" i="22"/>
  <c r="W10" i="22" s="1"/>
  <c r="AE8" i="22"/>
  <c r="V11" i="22"/>
  <c r="F11" i="22"/>
  <c r="AI5" i="22"/>
  <c r="J12" i="22"/>
  <c r="AI9" i="22"/>
  <c r="Z12" i="22"/>
  <c r="G347" i="4"/>
  <c r="AM8" i="22"/>
  <c r="K5" i="22"/>
  <c r="J6" i="22"/>
  <c r="G6" i="22" s="1"/>
  <c r="H4" i="22"/>
  <c r="AM5" i="22"/>
  <c r="AI110" i="21"/>
  <c r="B334" i="19"/>
  <c r="B336" i="19"/>
  <c r="C332" i="19"/>
  <c r="B204" i="21"/>
  <c r="B332" i="21"/>
  <c r="B268" i="19"/>
  <c r="B300" i="21"/>
  <c r="B300" i="19"/>
  <c r="C268" i="21"/>
  <c r="C204" i="21"/>
  <c r="C268" i="19"/>
  <c r="AI112" i="21"/>
  <c r="B332" i="19"/>
  <c r="C336" i="19"/>
  <c r="C334" i="19"/>
  <c r="B172" i="19"/>
  <c r="B236" i="19"/>
  <c r="C364" i="21"/>
  <c r="B268" i="21"/>
  <c r="B108" i="19"/>
  <c r="B364" i="19"/>
  <c r="B454" i="4"/>
  <c r="C236" i="19"/>
  <c r="C172" i="19"/>
  <c r="B396" i="19"/>
  <c r="N48" i="16" l="1"/>
  <c r="N67" i="16"/>
  <c r="M97" i="16"/>
  <c r="M33" i="16"/>
  <c r="S74" i="16"/>
  <c r="T97" i="16"/>
  <c r="M67" i="16"/>
  <c r="M48" i="16"/>
  <c r="N74" i="16"/>
  <c r="T57" i="16"/>
  <c r="T74" i="16"/>
  <c r="M83" i="16"/>
  <c r="S83" i="16"/>
  <c r="M74" i="16"/>
  <c r="S90" i="16"/>
  <c r="S57" i="16"/>
  <c r="AV47" i="22"/>
  <c r="AV48" i="22"/>
  <c r="AW23" i="22"/>
  <c r="AV23" i="22" s="1"/>
  <c r="AW8" i="22"/>
  <c r="AE4" i="22"/>
  <c r="AW7" i="22"/>
  <c r="M106" i="16"/>
  <c r="AI38" i="22"/>
  <c r="AV32" i="22"/>
  <c r="AV33" i="22"/>
  <c r="AV20" i="22"/>
  <c r="K23" i="22"/>
  <c r="G50" i="22"/>
  <c r="AV50" i="22"/>
  <c r="AU47" i="22"/>
  <c r="AT47" i="22"/>
  <c r="AS47" i="22"/>
  <c r="AW25" i="22"/>
  <c r="AV25" i="22" s="1"/>
  <c r="AS25" i="22"/>
  <c r="AT25" i="22"/>
  <c r="AU25" i="22"/>
  <c r="J22" i="22"/>
  <c r="AW19" i="22"/>
  <c r="AV19" i="22" s="1"/>
  <c r="W37" i="22"/>
  <c r="AW37" i="22"/>
  <c r="AV37" i="22" s="1"/>
  <c r="AS32" i="22"/>
  <c r="AU32" i="22"/>
  <c r="AT32" i="22"/>
  <c r="G36" i="22"/>
  <c r="AV34" i="22"/>
  <c r="O38" i="22"/>
  <c r="AW38" i="22"/>
  <c r="AV38" i="22" s="1"/>
  <c r="W54" i="22"/>
  <c r="AW54" i="22"/>
  <c r="AV54" i="22" s="1"/>
  <c r="AS48" i="22"/>
  <c r="AT48" i="22"/>
  <c r="AU48" i="22"/>
  <c r="AV21" i="22"/>
  <c r="O24" i="22"/>
  <c r="AW24" i="22"/>
  <c r="AV24" i="22" s="1"/>
  <c r="AT18" i="22"/>
  <c r="AU18" i="22"/>
  <c r="AS18" i="22"/>
  <c r="S39" i="22"/>
  <c r="AW39" i="22"/>
  <c r="AV39" i="22" s="1"/>
  <c r="C35" i="22"/>
  <c r="AV35" i="22"/>
  <c r="AS31" i="22"/>
  <c r="AU31" i="22"/>
  <c r="AT31" i="22"/>
  <c r="O52" i="22"/>
  <c r="AW52" i="22"/>
  <c r="AV52" i="22" s="1"/>
  <c r="C49" i="22"/>
  <c r="AV49" i="22"/>
  <c r="AV51" i="22"/>
  <c r="W53" i="22"/>
  <c r="AW53" i="22"/>
  <c r="AV53" i="22" s="1"/>
  <c r="AT46" i="22"/>
  <c r="AS46" i="22"/>
  <c r="AU46" i="22"/>
  <c r="S11" i="22"/>
  <c r="AV11" i="22"/>
  <c r="F7" i="22"/>
  <c r="AW4" i="22"/>
  <c r="AV4" i="22" s="1"/>
  <c r="AV13" i="22"/>
  <c r="K10" i="22"/>
  <c r="C78" i="4"/>
  <c r="T82" i="16"/>
  <c r="S16" i="16"/>
  <c r="S17" i="16" s="1"/>
  <c r="S18" i="16" s="1"/>
  <c r="N96" i="16"/>
  <c r="T32" i="16"/>
  <c r="T33" i="16" s="1"/>
  <c r="T34" i="16" s="1"/>
  <c r="A32" i="16"/>
  <c r="A33" i="16" s="1"/>
  <c r="A34" i="16" s="1"/>
  <c r="A35" i="16" s="1"/>
  <c r="B32" i="16"/>
  <c r="B33" i="16" s="1"/>
  <c r="B34" i="16" s="1"/>
  <c r="B35" i="16" s="1"/>
  <c r="G47" i="16"/>
  <c r="G48" i="16" s="1"/>
  <c r="G49" i="16" s="1"/>
  <c r="H47" i="16"/>
  <c r="H48" i="16" s="1"/>
  <c r="H49" i="16" s="1"/>
  <c r="B119" i="16"/>
  <c r="B120" i="16" s="1"/>
  <c r="B121" i="16" s="1"/>
  <c r="A105" i="16"/>
  <c r="A106" i="16" s="1"/>
  <c r="A107" i="16" s="1"/>
  <c r="B56" i="16"/>
  <c r="B57" i="16" s="1"/>
  <c r="B58" i="16" s="1"/>
  <c r="B59" i="16" s="1"/>
  <c r="N32" i="16"/>
  <c r="A40" i="16"/>
  <c r="A41" i="16" s="1"/>
  <c r="A42" i="16" s="1"/>
  <c r="B40" i="16"/>
  <c r="B41" i="16" s="1"/>
  <c r="B42" i="16" s="1"/>
  <c r="A112" i="16"/>
  <c r="A113" i="16" s="1"/>
  <c r="A114" i="16" s="1"/>
  <c r="B112" i="16"/>
  <c r="B113" i="16" s="1"/>
  <c r="B114" i="16" s="1"/>
  <c r="H56" i="16"/>
  <c r="H57" i="16" s="1"/>
  <c r="H58" i="16" s="1"/>
  <c r="N23" i="16"/>
  <c r="N24" i="16" s="1"/>
  <c r="N25" i="16" s="1"/>
  <c r="M40" i="16"/>
  <c r="N40" i="16"/>
  <c r="H16" i="16"/>
  <c r="H17" i="16" s="1"/>
  <c r="H18" i="16" s="1"/>
  <c r="G16" i="16"/>
  <c r="G17" i="16" s="1"/>
  <c r="G18" i="16" s="1"/>
  <c r="T40" i="16"/>
  <c r="T41" i="16" s="1"/>
  <c r="T42" i="16" s="1"/>
  <c r="B82" i="16"/>
  <c r="B83" i="16" s="1"/>
  <c r="B84" i="16" s="1"/>
  <c r="A82" i="16"/>
  <c r="A83" i="16" s="1"/>
  <c r="A84" i="16" s="1"/>
  <c r="Z19" i="3"/>
  <c r="Z41" i="3" s="1"/>
  <c r="Z37" i="3"/>
  <c r="AD12" i="3"/>
  <c r="Z31" i="3"/>
  <c r="J32" i="3"/>
  <c r="J38" i="3"/>
  <c r="J26" i="3"/>
  <c r="J20" i="3"/>
  <c r="M12" i="3"/>
  <c r="J43" i="3"/>
  <c r="C50" i="22"/>
  <c r="G52" i="22"/>
  <c r="C53" i="22"/>
  <c r="C51" i="22"/>
  <c r="G49" i="22"/>
  <c r="G54" i="22"/>
  <c r="AM4" i="22"/>
  <c r="C11" i="22"/>
  <c r="AU11" i="22" s="1"/>
  <c r="P36" i="22"/>
  <c r="AW36" i="22" s="1"/>
  <c r="AV36" i="22" s="1"/>
  <c r="W34" i="22"/>
  <c r="K34" i="22"/>
  <c r="S36" i="22"/>
  <c r="S38" i="22"/>
  <c r="AA39" i="22"/>
  <c r="C33" i="22"/>
  <c r="AS33" i="22" s="1"/>
  <c r="G23" i="22"/>
  <c r="K26" i="22"/>
  <c r="AI20" i="22"/>
  <c r="AI23" i="22"/>
  <c r="X26" i="22"/>
  <c r="W26" i="22" s="1"/>
  <c r="C21" i="22"/>
  <c r="G20" i="22"/>
  <c r="AT11" i="22"/>
  <c r="S12" i="22"/>
  <c r="H9" i="22"/>
  <c r="H89" i="16"/>
  <c r="H90" i="16" s="1"/>
  <c r="H91" i="16" s="1"/>
  <c r="H82" i="16"/>
  <c r="H83" i="16" s="1"/>
  <c r="H84" i="16" s="1"/>
  <c r="T89" i="16"/>
  <c r="N105" i="16"/>
  <c r="S4" i="22"/>
  <c r="F8" i="22"/>
  <c r="C8" i="22" s="1"/>
  <c r="G7" i="22"/>
  <c r="AI7" i="22"/>
  <c r="R12" i="22"/>
  <c r="O12" i="22" s="1"/>
  <c r="F9" i="22"/>
  <c r="C9" i="22" s="1"/>
  <c r="W4" i="22"/>
  <c r="J10" i="22"/>
  <c r="G10" i="22" s="1"/>
  <c r="AA5" i="22"/>
  <c r="W7" i="22"/>
  <c r="R9" i="22"/>
  <c r="O9" i="22" s="1"/>
  <c r="G4" i="22"/>
  <c r="F5" i="22"/>
  <c r="AV5" i="22" s="1"/>
  <c r="AA4" i="22"/>
  <c r="F10" i="22"/>
  <c r="C10" i="22" s="1"/>
  <c r="AB12" i="22"/>
  <c r="L12" i="22"/>
  <c r="B47" i="16"/>
  <c r="S13" i="22"/>
  <c r="G12" i="22"/>
  <c r="N8" i="16"/>
  <c r="AI4" i="22"/>
  <c r="D12" i="22"/>
  <c r="AD12" i="22"/>
  <c r="AI10" i="22"/>
  <c r="W6" i="22"/>
  <c r="N9" i="22"/>
  <c r="K9" i="22" s="1"/>
  <c r="B96" i="16"/>
  <c r="K4" i="22"/>
  <c r="F6" i="22"/>
  <c r="C6" i="22" s="1"/>
  <c r="K7" i="22"/>
  <c r="H9" i="16"/>
  <c r="H96" i="16"/>
  <c r="T24" i="16"/>
  <c r="B89" i="16"/>
  <c r="C13" i="22"/>
  <c r="R10" i="22"/>
  <c r="O10" i="22" s="1"/>
  <c r="AA7" i="22"/>
  <c r="N12" i="22"/>
  <c r="AI6" i="22"/>
  <c r="N8" i="22"/>
  <c r="S6" i="22"/>
  <c r="H73" i="16"/>
  <c r="B74" i="16"/>
  <c r="T66" i="16"/>
  <c r="O5" i="22"/>
  <c r="N82" i="16"/>
  <c r="T8" i="16"/>
  <c r="W12" i="22"/>
  <c r="O6" i="22"/>
  <c r="H33" i="16"/>
  <c r="B9" i="16"/>
  <c r="B17" i="16"/>
  <c r="C174" i="19"/>
  <c r="B366" i="19"/>
  <c r="B270" i="21"/>
  <c r="B238" i="19"/>
  <c r="C270" i="19"/>
  <c r="C270" i="21"/>
  <c r="B302" i="21"/>
  <c r="B334" i="21"/>
  <c r="C108" i="19"/>
  <c r="C423" i="4"/>
  <c r="C140" i="19"/>
  <c r="C238" i="19"/>
  <c r="B110" i="19"/>
  <c r="C366" i="21"/>
  <c r="B174" i="19"/>
  <c r="C206" i="21"/>
  <c r="B302" i="19"/>
  <c r="B270" i="19"/>
  <c r="B206" i="21"/>
  <c r="C300" i="21"/>
  <c r="C364" i="19"/>
  <c r="C454" i="4"/>
  <c r="B423" i="4"/>
  <c r="B140" i="19"/>
  <c r="C332" i="21"/>
  <c r="C236" i="21"/>
  <c r="C300" i="19"/>
  <c r="B398" i="19"/>
  <c r="C396" i="19"/>
  <c r="N83" i="16" l="1"/>
  <c r="T67" i="16"/>
  <c r="T90" i="16"/>
  <c r="J45" i="3"/>
  <c r="M41" i="16"/>
  <c r="N97" i="16"/>
  <c r="T83" i="16"/>
  <c r="S58" i="16"/>
  <c r="M75" i="16"/>
  <c r="M84" i="16"/>
  <c r="T58" i="16"/>
  <c r="M49" i="16"/>
  <c r="T98" i="16"/>
  <c r="M34" i="16"/>
  <c r="N68" i="16"/>
  <c r="N41" i="16"/>
  <c r="N33" i="16"/>
  <c r="S91" i="16"/>
  <c r="S84" i="16"/>
  <c r="T75" i="16"/>
  <c r="N75" i="16"/>
  <c r="M68" i="16"/>
  <c r="S75" i="16"/>
  <c r="M98" i="16"/>
  <c r="N49" i="16"/>
  <c r="AS11" i="22"/>
  <c r="AQ11" i="22" s="1"/>
  <c r="AT20" i="22"/>
  <c r="AV7" i="22"/>
  <c r="AW12" i="22"/>
  <c r="AV12" i="22" s="1"/>
  <c r="C7" i="22"/>
  <c r="AT7" i="22" s="1"/>
  <c r="AV8" i="22"/>
  <c r="AV10" i="22"/>
  <c r="AV6" i="22"/>
  <c r="N106" i="16"/>
  <c r="M107" i="16"/>
  <c r="AT33" i="22"/>
  <c r="AU33" i="22"/>
  <c r="AS20" i="22"/>
  <c r="AU20" i="22"/>
  <c r="AW26" i="22"/>
  <c r="AV26" i="22" s="1"/>
  <c r="AS26" i="22"/>
  <c r="AU26" i="22"/>
  <c r="AT26" i="22"/>
  <c r="AU23" i="22"/>
  <c r="AS23" i="22"/>
  <c r="AT23" i="22"/>
  <c r="AT50" i="22"/>
  <c r="AU50" i="22"/>
  <c r="AS50" i="22"/>
  <c r="AS37" i="22"/>
  <c r="AU37" i="22"/>
  <c r="AT37" i="22"/>
  <c r="AS38" i="22"/>
  <c r="AT38" i="22"/>
  <c r="AU38" i="22"/>
  <c r="AU34" i="22"/>
  <c r="AT34" i="22"/>
  <c r="AS34" i="22"/>
  <c r="AT54" i="22"/>
  <c r="AU54" i="22"/>
  <c r="AS54" i="22"/>
  <c r="AS24" i="22"/>
  <c r="AU24" i="22"/>
  <c r="AT24" i="22"/>
  <c r="AS21" i="22"/>
  <c r="AT21" i="22"/>
  <c r="AU21" i="22"/>
  <c r="AT39" i="22"/>
  <c r="AU39" i="22"/>
  <c r="AS39" i="22"/>
  <c r="AU35" i="22"/>
  <c r="AT35" i="22"/>
  <c r="AS35" i="22"/>
  <c r="AU52" i="22"/>
  <c r="AT52" i="22"/>
  <c r="AS52" i="22"/>
  <c r="AS49" i="22"/>
  <c r="AU49" i="22"/>
  <c r="AT49" i="22"/>
  <c r="AU53" i="22"/>
  <c r="AT53" i="22"/>
  <c r="AS53" i="22"/>
  <c r="AU51" i="22"/>
  <c r="AT51" i="22"/>
  <c r="AS51" i="22"/>
  <c r="G9" i="22"/>
  <c r="AS9" i="22" s="1"/>
  <c r="AW9" i="22"/>
  <c r="AV9" i="22" s="1"/>
  <c r="AQ48" i="22"/>
  <c r="AR48" i="22"/>
  <c r="AY48" i="22" s="1"/>
  <c r="AQ46" i="22"/>
  <c r="AR46" i="22"/>
  <c r="AY46" i="22" s="1"/>
  <c r="AQ47" i="22"/>
  <c r="AR47" i="22"/>
  <c r="AY47" i="22" s="1"/>
  <c r="O36" i="22"/>
  <c r="AS36" i="22" s="1"/>
  <c r="AR32" i="22"/>
  <c r="AY32" i="22" s="1"/>
  <c r="AQ32" i="22"/>
  <c r="AQ31" i="22"/>
  <c r="AR31" i="22"/>
  <c r="AY31" i="22" s="1"/>
  <c r="AU7" i="22"/>
  <c r="AS7" i="22"/>
  <c r="AU10" i="22"/>
  <c r="AS10" i="22"/>
  <c r="AT10" i="22"/>
  <c r="AU4" i="22"/>
  <c r="AS4" i="22"/>
  <c r="AT4" i="22"/>
  <c r="AU9" i="22"/>
  <c r="AU6" i="22"/>
  <c r="AS6" i="22"/>
  <c r="AT6" i="22"/>
  <c r="G13" i="22"/>
  <c r="T25" i="16"/>
  <c r="B10" i="16"/>
  <c r="H10" i="16"/>
  <c r="AA12" i="22"/>
  <c r="B18" i="16"/>
  <c r="T9" i="16"/>
  <c r="AQ18" i="22"/>
  <c r="AR18" i="22"/>
  <c r="AY18" i="22" s="1"/>
  <c r="B48" i="16"/>
  <c r="W13" i="22"/>
  <c r="B75" i="16"/>
  <c r="H34" i="16"/>
  <c r="K8" i="22"/>
  <c r="AT8" i="22" s="1"/>
  <c r="H74" i="16"/>
  <c r="B90" i="16"/>
  <c r="B91" i="16" s="1"/>
  <c r="H97" i="16"/>
  <c r="B97" i="16"/>
  <c r="N9" i="16"/>
  <c r="K12" i="22"/>
  <c r="AR11" i="22"/>
  <c r="AY11" i="22" s="1"/>
  <c r="C12" i="22"/>
  <c r="C5" i="22"/>
  <c r="C302" i="19"/>
  <c r="C334" i="21"/>
  <c r="B142" i="19"/>
  <c r="C302" i="21"/>
  <c r="B272" i="19"/>
  <c r="C208" i="21"/>
  <c r="C368" i="21"/>
  <c r="C240" i="19"/>
  <c r="C110" i="19"/>
  <c r="B304" i="21"/>
  <c r="C272" i="19"/>
  <c r="B272" i="21"/>
  <c r="C176" i="19"/>
  <c r="C238" i="21"/>
  <c r="C366" i="19"/>
  <c r="B208" i="21"/>
  <c r="B304" i="19"/>
  <c r="B176" i="19"/>
  <c r="B112" i="19"/>
  <c r="C142" i="19"/>
  <c r="B336" i="21"/>
  <c r="C272" i="21"/>
  <c r="B240" i="19"/>
  <c r="B368" i="19"/>
  <c r="C398" i="19"/>
  <c r="N42" i="16" l="1"/>
  <c r="N98" i="16"/>
  <c r="T68" i="16"/>
  <c r="N34" i="16"/>
  <c r="T84" i="16"/>
  <c r="M42" i="16"/>
  <c r="T91" i="16"/>
  <c r="N84" i="16"/>
  <c r="AT9" i="22"/>
  <c r="AQ9" i="22" s="1"/>
  <c r="AR37" i="22"/>
  <c r="AY37" i="22" s="1"/>
  <c r="N107" i="16"/>
  <c r="AU36" i="22"/>
  <c r="AR36" i="22" s="1"/>
  <c r="AY36" i="22" s="1"/>
  <c r="AT36" i="22"/>
  <c r="AQ37" i="22"/>
  <c r="AR24" i="22"/>
  <c r="AY24" i="22" s="1"/>
  <c r="AQ24" i="22"/>
  <c r="AR21" i="22"/>
  <c r="AY21" i="22" s="1"/>
  <c r="AQ35" i="22"/>
  <c r="AR35" i="22"/>
  <c r="AY35" i="22" s="1"/>
  <c r="AQ50" i="22"/>
  <c r="AR50" i="22"/>
  <c r="AY50" i="22" s="1"/>
  <c r="AQ52" i="22"/>
  <c r="AR52" i="22"/>
  <c r="AY52" i="22" s="1"/>
  <c r="AR53" i="22"/>
  <c r="AY53" i="22" s="1"/>
  <c r="AQ53" i="22"/>
  <c r="AR51" i="22"/>
  <c r="AY51" i="22" s="1"/>
  <c r="AQ51" i="22"/>
  <c r="AQ54" i="22"/>
  <c r="AR54" i="22"/>
  <c r="AY54" i="22" s="1"/>
  <c r="AQ49" i="22"/>
  <c r="AR49" i="22"/>
  <c r="AY49" i="22" s="1"/>
  <c r="AQ34" i="22"/>
  <c r="AR34" i="22"/>
  <c r="AY34" i="22" s="1"/>
  <c r="AQ39" i="22"/>
  <c r="AR39" i="22"/>
  <c r="AY39" i="22" s="1"/>
  <c r="AR38" i="22"/>
  <c r="AY38" i="22" s="1"/>
  <c r="AQ38" i="22"/>
  <c r="AQ33" i="22"/>
  <c r="AR33" i="22"/>
  <c r="AY33" i="22" s="1"/>
  <c r="AR20" i="22"/>
  <c r="AY20" i="22" s="1"/>
  <c r="AQ23" i="22"/>
  <c r="AR26" i="22"/>
  <c r="AY26" i="22" s="1"/>
  <c r="AQ26" i="22"/>
  <c r="AQ20" i="22"/>
  <c r="AR23" i="22"/>
  <c r="AY23" i="22" s="1"/>
  <c r="AQ21" i="22"/>
  <c r="AT13" i="22"/>
  <c r="AU13" i="22"/>
  <c r="AS8" i="22"/>
  <c r="AT5" i="22"/>
  <c r="AU5" i="22"/>
  <c r="AS5" i="22"/>
  <c r="AS13" i="22"/>
  <c r="AU8" i="22"/>
  <c r="AT12" i="22"/>
  <c r="AU12" i="22"/>
  <c r="AS12" i="22"/>
  <c r="AR10" i="22"/>
  <c r="AY10" i="22" s="1"/>
  <c r="AQ10" i="22"/>
  <c r="B11" i="16"/>
  <c r="AQ4" i="22"/>
  <c r="AR4" i="22"/>
  <c r="AY4" i="22" s="1"/>
  <c r="N10" i="16"/>
  <c r="AR7" i="22"/>
  <c r="AY7" i="22" s="1"/>
  <c r="AQ7" i="22"/>
  <c r="AR6" i="22"/>
  <c r="AY6" i="22" s="1"/>
  <c r="AQ6" i="22"/>
  <c r="AQ25" i="22"/>
  <c r="AR25" i="22"/>
  <c r="AY25" i="22" s="1"/>
  <c r="T10" i="16"/>
  <c r="AR9" i="22"/>
  <c r="AY9" i="22" s="1"/>
  <c r="H75" i="16"/>
  <c r="B49" i="16"/>
  <c r="H98" i="16"/>
  <c r="C144" i="19"/>
  <c r="C240" i="21"/>
  <c r="C304" i="21"/>
  <c r="C336" i="21"/>
  <c r="C368" i="19"/>
  <c r="C112" i="19"/>
  <c r="B144" i="19"/>
  <c r="C304" i="19"/>
  <c r="AQ36" i="22" l="1"/>
  <c r="AR13" i="22"/>
  <c r="AY13" i="22" s="1"/>
  <c r="AX52" i="22"/>
  <c r="AX49" i="22"/>
  <c r="AX53" i="22"/>
  <c r="AX51" i="22"/>
  <c r="AX48" i="22"/>
  <c r="AX47" i="22"/>
  <c r="AX54" i="22"/>
  <c r="AX50" i="22"/>
  <c r="AX46" i="22"/>
  <c r="AX33" i="22"/>
  <c r="AX31" i="22"/>
  <c r="AX34" i="22"/>
  <c r="AX39" i="22"/>
  <c r="AX36" i="22"/>
  <c r="AX35" i="22"/>
  <c r="AX37" i="22"/>
  <c r="AX38" i="22"/>
  <c r="AX32" i="22"/>
  <c r="H22" i="22"/>
  <c r="AW22" i="22" s="1"/>
  <c r="AV22" i="22" s="1"/>
  <c r="S19" i="22"/>
  <c r="AQ13" i="22"/>
  <c r="AQ12" i="22"/>
  <c r="AR12" i="22"/>
  <c r="AY12" i="22" s="1"/>
  <c r="AQ5" i="22"/>
  <c r="AR5" i="22"/>
  <c r="AY5" i="22" s="1"/>
  <c r="AQ8" i="22"/>
  <c r="AR8" i="22"/>
  <c r="AY8" i="22" s="1"/>
  <c r="AU19" i="22" l="1"/>
  <c r="AS19" i="22"/>
  <c r="AT19" i="22"/>
  <c r="AX8" i="22"/>
  <c r="G22" i="22"/>
  <c r="AX4" i="22"/>
  <c r="AX7" i="22"/>
  <c r="AX10" i="22"/>
  <c r="AX5" i="22"/>
  <c r="AX9" i="22"/>
  <c r="AX6" i="22"/>
  <c r="AX12" i="22"/>
  <c r="AX11" i="22"/>
  <c r="AX13" i="22"/>
  <c r="AT22" i="22" l="1"/>
  <c r="AU22" i="22"/>
  <c r="AS22" i="22"/>
  <c r="AR19" i="22"/>
  <c r="AY19" i="22" s="1"/>
  <c r="AQ19" i="22"/>
  <c r="AR22" i="22" l="1"/>
  <c r="AY22" i="22" s="1"/>
  <c r="AZ18" i="22" s="1"/>
  <c r="AQ22" i="22"/>
  <c r="AZ34" i="22" l="1"/>
  <c r="AZ31" i="22"/>
  <c r="AZ23" i="22"/>
  <c r="AZ35" i="22"/>
  <c r="AZ54" i="22"/>
  <c r="AZ46" i="22"/>
  <c r="AZ19" i="22"/>
  <c r="AZ33" i="22"/>
  <c r="AZ24" i="22"/>
  <c r="AZ53" i="22"/>
  <c r="AZ36" i="22"/>
  <c r="AZ21" i="22"/>
  <c r="AZ47" i="22"/>
  <c r="AZ32" i="22"/>
  <c r="AZ37" i="22"/>
  <c r="AZ48" i="22"/>
  <c r="AX22" i="22"/>
  <c r="AZ22" i="22"/>
  <c r="AZ39" i="22"/>
  <c r="AZ26" i="22"/>
  <c r="AZ25" i="22"/>
  <c r="AZ51" i="22"/>
  <c r="AZ20" i="22"/>
  <c r="AZ52" i="22"/>
  <c r="AZ49" i="22"/>
  <c r="AZ38" i="22"/>
  <c r="AZ50" i="22"/>
  <c r="AX25" i="22"/>
  <c r="AX20" i="22"/>
  <c r="AX19" i="22"/>
  <c r="AX24" i="22"/>
  <c r="AX21" i="22"/>
  <c r="AX26" i="22"/>
  <c r="AX18" i="22"/>
  <c r="AX23" i="22"/>
  <c r="B298" i="21" l="1"/>
  <c r="B234" i="21"/>
  <c r="B266" i="19"/>
  <c r="B138" i="19"/>
  <c r="B266" i="21"/>
  <c r="B330" i="21"/>
  <c r="B362" i="21"/>
  <c r="B202" i="21"/>
  <c r="B298" i="19"/>
  <c r="B362" i="19"/>
  <c r="B234" i="19"/>
  <c r="B330" i="19"/>
  <c r="B170" i="19"/>
  <c r="B394" i="19"/>
  <c r="B106" i="19"/>
  <c r="C174" i="21"/>
  <c r="B170" i="18"/>
  <c r="B264" i="4"/>
  <c r="AS272" i="21"/>
  <c r="AS323" i="18"/>
  <c r="AR111" i="18"/>
  <c r="AS268" i="19"/>
  <c r="AR330" i="4"/>
  <c r="AI111" i="18"/>
  <c r="AS142" i="18"/>
  <c r="C76" i="21"/>
  <c r="AS328" i="4"/>
  <c r="AS112" i="21"/>
  <c r="C15" i="19"/>
  <c r="C13" i="18"/>
  <c r="C204" i="19"/>
  <c r="B321" i="18"/>
  <c r="AI334" i="19"/>
  <c r="B450" i="4"/>
  <c r="C13" i="21"/>
  <c r="AS332" i="21"/>
  <c r="AS141" i="4"/>
  <c r="AS206" i="21"/>
  <c r="B140" i="21"/>
  <c r="AI268" i="21"/>
  <c r="AR364" i="19"/>
  <c r="AI49" i="21"/>
  <c r="AR174" i="21"/>
  <c r="AS368" i="19"/>
  <c r="AR172" i="19"/>
  <c r="B235" i="4"/>
  <c r="AI235" i="4"/>
  <c r="AS172" i="21"/>
  <c r="AS300" i="21"/>
  <c r="AR143" i="4"/>
  <c r="B354" i="18"/>
  <c r="AS112" i="19"/>
  <c r="AS419" i="4"/>
  <c r="B13" i="19"/>
  <c r="AR141" i="4"/>
  <c r="AI240" i="21"/>
  <c r="B172" i="18"/>
  <c r="AS235" i="4"/>
  <c r="B146" i="21"/>
  <c r="C17" i="19"/>
  <c r="AS202" i="18"/>
  <c r="C142" i="21"/>
  <c r="B388" i="4"/>
  <c r="AS292" i="18"/>
  <c r="AS240" i="19"/>
  <c r="AR368" i="19"/>
  <c r="C237" i="4"/>
  <c r="AR268" i="21"/>
  <c r="C388" i="4"/>
  <c r="C107" i="4"/>
  <c r="AS142" i="21"/>
  <c r="AI299" i="4"/>
  <c r="AR142" i="19"/>
  <c r="B47" i="18"/>
  <c r="B323" i="18"/>
  <c r="C297" i="4"/>
  <c r="AR13" i="21"/>
  <c r="C17" i="18"/>
  <c r="AR262" i="18"/>
  <c r="C80" i="19"/>
  <c r="AS334" i="21"/>
  <c r="B357" i="4"/>
  <c r="C202" i="18"/>
  <c r="AI398" i="19"/>
  <c r="AS336" i="21"/>
  <c r="B21" i="19"/>
  <c r="C15" i="18"/>
  <c r="AS143" i="4"/>
  <c r="AS302" i="19"/>
  <c r="AR366" i="19"/>
  <c r="AS174" i="21"/>
  <c r="AR236" i="21"/>
  <c r="C419" i="4"/>
  <c r="AR240" i="19"/>
  <c r="B203" i="4"/>
  <c r="AR176" i="21"/>
  <c r="AS302" i="21"/>
  <c r="AI78" i="21"/>
  <c r="B330" i="4"/>
  <c r="B49" i="4"/>
  <c r="C172" i="21"/>
  <c r="AS268" i="21"/>
  <c r="AI140" i="18"/>
  <c r="C47" i="4"/>
  <c r="AI352" i="18"/>
  <c r="AI144" i="19"/>
  <c r="B205" i="4"/>
  <c r="B47" i="19"/>
  <c r="B76" i="4"/>
  <c r="AS200" i="18"/>
  <c r="AS262" i="18"/>
  <c r="AR325" i="18"/>
  <c r="C200" i="18"/>
  <c r="AS398" i="19"/>
  <c r="AI15" i="21"/>
  <c r="AR201" i="4"/>
  <c r="AI238" i="21"/>
  <c r="AI176" i="21"/>
  <c r="AR272" i="21"/>
  <c r="AI208" i="19"/>
  <c r="C264" i="4"/>
  <c r="AS174" i="4"/>
  <c r="AR321" i="18"/>
  <c r="AS270" i="19"/>
  <c r="B425" i="4"/>
  <c r="AS176" i="21"/>
  <c r="B262" i="18"/>
  <c r="C170" i="18"/>
  <c r="AI419" i="4"/>
  <c r="AS170" i="4"/>
  <c r="B76" i="19"/>
  <c r="AR142" i="21"/>
  <c r="AI260" i="18"/>
  <c r="B47" i="21"/>
  <c r="AS172" i="4"/>
  <c r="AI264" i="18"/>
  <c r="B109" i="4"/>
  <c r="B208" i="19"/>
  <c r="B198" i="18"/>
  <c r="AS330" i="4"/>
  <c r="AI300" i="19"/>
  <c r="B237" i="4"/>
  <c r="AI174" i="19"/>
  <c r="AR272" i="19"/>
  <c r="AS400" i="19"/>
  <c r="AI198" i="18"/>
  <c r="B141" i="4"/>
  <c r="AR140" i="21"/>
  <c r="AI302" i="19"/>
  <c r="B45" i="21"/>
  <c r="AR334" i="19"/>
  <c r="C170" i="4"/>
  <c r="AI295" i="4"/>
  <c r="AR452" i="4"/>
  <c r="C17" i="21"/>
  <c r="C206" i="19"/>
  <c r="AI138" i="18"/>
  <c r="AI332" i="21"/>
  <c r="C294" i="18"/>
  <c r="C299" i="4"/>
  <c r="AI359" i="4"/>
  <c r="B266" i="4"/>
  <c r="AI297" i="4"/>
  <c r="AR112" i="19"/>
  <c r="AS260" i="18"/>
  <c r="AR172" i="18"/>
  <c r="C354" i="18"/>
  <c r="AR356" i="18"/>
  <c r="AI15" i="19"/>
  <c r="B206" i="19"/>
  <c r="C80" i="18"/>
  <c r="AS144" i="21"/>
  <c r="B111" i="4"/>
  <c r="C198" i="18"/>
  <c r="B295" i="4"/>
  <c r="B301" i="4"/>
  <c r="C201" i="4"/>
  <c r="C112" i="21"/>
  <c r="C266" i="4"/>
  <c r="C110" i="21"/>
  <c r="AR108" i="21"/>
  <c r="AI13" i="18"/>
  <c r="AI17" i="19"/>
  <c r="AR200" i="18"/>
  <c r="AR388" i="4"/>
  <c r="B270" i="4"/>
  <c r="AR144" i="21"/>
  <c r="AI174" i="21"/>
  <c r="C205" i="4"/>
  <c r="C45" i="19"/>
  <c r="AS325" i="18"/>
  <c r="AI170" i="18"/>
  <c r="AR170" i="4"/>
  <c r="AS264" i="18"/>
  <c r="AI364" i="19"/>
  <c r="AR323" i="18"/>
  <c r="AR302" i="19"/>
  <c r="AI328" i="4"/>
  <c r="AS144" i="19"/>
  <c r="AI326" i="4"/>
  <c r="AR366" i="21"/>
  <c r="C109" i="18"/>
  <c r="AS290" i="18"/>
  <c r="AS208" i="21"/>
  <c r="AR295" i="4"/>
  <c r="C392" i="4"/>
  <c r="AS295" i="4"/>
  <c r="B332" i="4"/>
  <c r="C76" i="18"/>
  <c r="AR290" i="18"/>
  <c r="AS203" i="4"/>
  <c r="B172" i="4"/>
  <c r="AR204" i="21"/>
  <c r="AS332" i="19"/>
  <c r="AR108" i="19"/>
  <c r="AI172" i="18"/>
  <c r="C262" i="18"/>
  <c r="AI142" i="19"/>
  <c r="B174" i="21"/>
  <c r="AS452" i="4"/>
  <c r="C47" i="21"/>
  <c r="C176" i="21"/>
  <c r="B17" i="4"/>
  <c r="AS231" i="18"/>
  <c r="B200" i="18"/>
  <c r="C229" i="18"/>
  <c r="B115" i="4"/>
  <c r="AI354" i="18"/>
  <c r="B19" i="4"/>
  <c r="AR368" i="21"/>
  <c r="B45" i="18"/>
  <c r="B15" i="18"/>
  <c r="B78" i="21"/>
  <c r="AI388" i="4"/>
  <c r="C390" i="4"/>
  <c r="B49" i="19"/>
  <c r="AR398" i="19"/>
  <c r="AI108" i="21"/>
  <c r="B421" i="4"/>
  <c r="AI17" i="18"/>
  <c r="C78" i="19"/>
  <c r="B45" i="19"/>
  <c r="C13" i="4"/>
  <c r="AI262" i="18"/>
  <c r="AS138" i="18"/>
  <c r="AS388" i="4"/>
  <c r="AR138" i="18"/>
  <c r="AI49" i="19"/>
  <c r="AS236" i="21"/>
  <c r="AI47" i="21"/>
  <c r="AI140" i="21"/>
  <c r="AS108" i="21"/>
  <c r="AR205" i="4"/>
  <c r="B21" i="18"/>
  <c r="AS113" i="4"/>
  <c r="AS304" i="21"/>
  <c r="C15" i="4"/>
  <c r="C326" i="4"/>
  <c r="AR300" i="19"/>
  <c r="AS109" i="4"/>
  <c r="AR207" i="4"/>
  <c r="AI206" i="21"/>
  <c r="AI45" i="19"/>
  <c r="C325" i="18"/>
  <c r="AS334" i="19"/>
  <c r="AI237" i="4"/>
  <c r="C108" i="21"/>
  <c r="C138" i="18"/>
  <c r="AS294" i="18"/>
  <c r="AI142" i="18"/>
  <c r="AR238" i="21"/>
  <c r="AS229" i="18"/>
  <c r="C352" i="18"/>
  <c r="AR264" i="18"/>
  <c r="C203" i="4"/>
  <c r="C76" i="19"/>
  <c r="B201" i="4"/>
  <c r="AI356" i="18"/>
  <c r="B452" i="4"/>
  <c r="AR112" i="21"/>
  <c r="AR390" i="4"/>
  <c r="B144" i="21"/>
  <c r="AI304" i="19"/>
  <c r="AR204" i="19"/>
  <c r="AI272" i="21"/>
  <c r="C174" i="4"/>
  <c r="B168" i="18"/>
  <c r="AI421" i="4"/>
  <c r="AR107" i="18"/>
  <c r="AS238" i="19"/>
  <c r="AI109" i="18"/>
  <c r="AS198" i="18"/>
  <c r="AI202" i="18"/>
  <c r="AS421" i="4"/>
  <c r="AS201" i="4"/>
  <c r="AR302" i="21"/>
  <c r="AS111" i="4"/>
  <c r="AS240" i="21"/>
  <c r="C268" i="4"/>
  <c r="AR208" i="19"/>
  <c r="AR235" i="4"/>
  <c r="AI336" i="21"/>
  <c r="AI208" i="21"/>
  <c r="AR233" i="18"/>
  <c r="B13" i="18"/>
  <c r="C13" i="19"/>
  <c r="B47" i="4"/>
  <c r="C45" i="18"/>
  <c r="AR111" i="4"/>
  <c r="AR229" i="18"/>
  <c r="AR168" i="18"/>
  <c r="AS326" i="4"/>
  <c r="B15" i="4"/>
  <c r="B78" i="19"/>
  <c r="AS204" i="19"/>
  <c r="C208" i="19"/>
  <c r="AI334" i="21"/>
  <c r="AR109" i="18"/>
  <c r="C295" i="4"/>
  <c r="AI142" i="21"/>
  <c r="AR206" i="21"/>
  <c r="AI45" i="18"/>
  <c r="AI76" i="18"/>
  <c r="AR206" i="19"/>
  <c r="AR336" i="21"/>
  <c r="C168" i="18"/>
  <c r="AS233" i="4"/>
  <c r="AR266" i="4"/>
  <c r="AR172" i="21"/>
  <c r="C111" i="18"/>
  <c r="B113" i="4"/>
  <c r="B109" i="18"/>
  <c r="C47" i="19"/>
  <c r="C49" i="4"/>
  <c r="B176" i="21"/>
  <c r="AR260" i="18"/>
  <c r="C357" i="4"/>
  <c r="AS109" i="18"/>
  <c r="C233" i="18"/>
  <c r="AR109" i="4"/>
  <c r="AI238" i="19"/>
  <c r="AI144" i="21"/>
  <c r="B139" i="4"/>
  <c r="AS266" i="4"/>
  <c r="C143" i="4"/>
  <c r="B231" i="18"/>
  <c r="B325" i="18"/>
  <c r="AI200" i="18"/>
  <c r="AR231" i="18"/>
  <c r="AI168" i="18"/>
  <c r="AS304" i="19"/>
  <c r="C450" i="4"/>
  <c r="B204" i="19"/>
  <c r="C19" i="4"/>
  <c r="AS13" i="21"/>
  <c r="AR202" i="18"/>
  <c r="AI206" i="19"/>
  <c r="AS17" i="21"/>
  <c r="AI268" i="4"/>
  <c r="B107" i="18"/>
  <c r="AS297" i="4"/>
  <c r="B294" i="18"/>
  <c r="C172" i="18"/>
  <c r="C292" i="18"/>
  <c r="AS238" i="21"/>
  <c r="AI45" i="21"/>
  <c r="B17" i="18"/>
  <c r="AI15" i="18"/>
  <c r="AS321" i="18"/>
  <c r="AI392" i="4"/>
  <c r="C359" i="4"/>
  <c r="AS107" i="4"/>
  <c r="AS368" i="21"/>
  <c r="C140" i="18"/>
  <c r="AR237" i="4"/>
  <c r="AI270" i="19"/>
  <c r="AR326" i="4"/>
  <c r="AR352" i="18"/>
  <c r="AI204" i="21"/>
  <c r="B110" i="21"/>
  <c r="AI332" i="19"/>
  <c r="B260" i="18"/>
  <c r="AR270" i="21"/>
  <c r="AR268" i="4"/>
  <c r="AR400" i="19"/>
  <c r="B49" i="18"/>
  <c r="AS139" i="4"/>
  <c r="AR15" i="21"/>
  <c r="AS204" i="21"/>
  <c r="B264" i="18"/>
  <c r="AR304" i="19"/>
  <c r="C207" i="4"/>
  <c r="AR110" i="19"/>
  <c r="AR421" i="4"/>
  <c r="AI325" i="18"/>
  <c r="AI17" i="21"/>
  <c r="AI13" i="19"/>
  <c r="AS366" i="21"/>
  <c r="B13" i="21"/>
  <c r="AI176" i="19"/>
  <c r="B78" i="4"/>
  <c r="AS107" i="18"/>
  <c r="AR208" i="21"/>
  <c r="AI321" i="18"/>
  <c r="B76" i="21"/>
  <c r="C323" i="18"/>
  <c r="B21" i="21"/>
  <c r="B297" i="4"/>
  <c r="AR176" i="19"/>
  <c r="AI107" i="18"/>
  <c r="C233" i="4"/>
  <c r="C113" i="4"/>
  <c r="AR332" i="21"/>
  <c r="C290" i="18"/>
  <c r="AS300" i="19"/>
  <c r="AI272" i="19"/>
  <c r="AS140" i="21"/>
  <c r="C78" i="18"/>
  <c r="AR419" i="4"/>
  <c r="C49" i="18"/>
  <c r="B108" i="21"/>
  <c r="AS110" i="19"/>
  <c r="C47" i="18"/>
  <c r="B49" i="21"/>
  <c r="AS140" i="19"/>
  <c r="B80" i="19"/>
  <c r="C49" i="19"/>
  <c r="AS172" i="18"/>
  <c r="AI49" i="18"/>
  <c r="C260" i="18"/>
  <c r="AI400" i="19"/>
  <c r="B111" i="18"/>
  <c r="AI172" i="19"/>
  <c r="C356" i="18"/>
  <c r="AS205" i="4"/>
  <c r="AR359" i="4"/>
  <c r="B80" i="4"/>
  <c r="AI172" i="21"/>
  <c r="C264" i="18"/>
  <c r="AS299" i="4"/>
  <c r="B80" i="18"/>
  <c r="AR139" i="4"/>
  <c r="AI270" i="21"/>
  <c r="AR17" i="21"/>
  <c r="AR292" i="18"/>
  <c r="C80" i="21"/>
  <c r="AS390" i="4"/>
  <c r="B290" i="18"/>
  <c r="AS140" i="18"/>
  <c r="AI396" i="19"/>
  <c r="AI268" i="19"/>
  <c r="AI108" i="19"/>
  <c r="AR392" i="4"/>
  <c r="AS233" i="18"/>
  <c r="AR264" i="4"/>
  <c r="AS359" i="4"/>
  <c r="AR203" i="4"/>
  <c r="AR364" i="21"/>
  <c r="C45" i="4"/>
  <c r="B15" i="19"/>
  <c r="AS110" i="21"/>
  <c r="AI264" i="4"/>
  <c r="B392" i="4"/>
  <c r="AS270" i="21"/>
  <c r="AR107" i="4"/>
  <c r="AI300" i="21"/>
  <c r="C107" i="18"/>
  <c r="C109" i="4"/>
  <c r="AR110" i="21"/>
  <c r="B326" i="4"/>
  <c r="AI80" i="21"/>
  <c r="C141" i="4"/>
  <c r="AS364" i="21"/>
  <c r="AS352" i="18"/>
  <c r="AR236" i="19"/>
  <c r="B292" i="18"/>
  <c r="C111" i="4"/>
  <c r="AI233" i="4"/>
  <c r="AR238" i="19"/>
  <c r="AR198" i="18"/>
  <c r="B21" i="4"/>
  <c r="AS168" i="18"/>
  <c r="B233" i="18"/>
  <c r="AR396" i="19"/>
  <c r="C172" i="4"/>
  <c r="AR357" i="4"/>
  <c r="C144" i="21"/>
  <c r="B78" i="18"/>
  <c r="AI76" i="21"/>
  <c r="AS108" i="19"/>
  <c r="AS392" i="4"/>
  <c r="AI323" i="18"/>
  <c r="AS142" i="19"/>
  <c r="AR268" i="19"/>
  <c r="AR299" i="4"/>
  <c r="B207" i="4"/>
  <c r="AR332" i="19"/>
  <c r="AI110" i="19"/>
  <c r="AS206" i="19"/>
  <c r="B229" i="18"/>
  <c r="B107" i="4"/>
  <c r="AI304" i="21"/>
  <c r="AR172" i="4"/>
  <c r="B142" i="21"/>
  <c r="AI302" i="21"/>
  <c r="B15" i="21"/>
  <c r="AI78" i="19"/>
  <c r="C45" i="21"/>
  <c r="B13" i="4"/>
  <c r="AR297" i="4"/>
  <c r="AR170" i="18"/>
  <c r="AI47" i="19"/>
  <c r="B299" i="4"/>
  <c r="AS236" i="19"/>
  <c r="AS176" i="19"/>
  <c r="C78" i="21"/>
  <c r="B170" i="4"/>
  <c r="AS366" i="19"/>
  <c r="AS208" i="19"/>
  <c r="AS357" i="4"/>
  <c r="AR270" i="19"/>
  <c r="C15" i="21"/>
  <c r="C235" i="4"/>
  <c r="AS264" i="4"/>
  <c r="AR300" i="21"/>
  <c r="AI452" i="4"/>
  <c r="B138" i="18"/>
  <c r="B394" i="4"/>
  <c r="C231" i="18"/>
  <c r="AR140" i="18"/>
  <c r="AS396" i="19"/>
  <c r="AS172" i="19"/>
  <c r="AS354" i="18"/>
  <c r="AR144" i="19"/>
  <c r="AR233" i="4"/>
  <c r="B328" i="4"/>
  <c r="AI357" i="4"/>
  <c r="B17" i="21"/>
  <c r="B76" i="18"/>
  <c r="AI204" i="19"/>
  <c r="B112" i="21"/>
  <c r="C421" i="4"/>
  <c r="AI76" i="19"/>
  <c r="AR294" i="18"/>
  <c r="AS268" i="4"/>
  <c r="AI236" i="21"/>
  <c r="B142" i="18"/>
  <c r="AR113" i="4"/>
  <c r="B233" i="4"/>
  <c r="B143" i="4"/>
  <c r="AR334" i="21"/>
  <c r="AR240" i="21"/>
  <c r="C321" i="18"/>
  <c r="AI240" i="19"/>
  <c r="B352" i="18"/>
  <c r="AI47" i="18"/>
  <c r="AI80" i="18"/>
  <c r="AS356" i="18"/>
  <c r="B303" i="4"/>
  <c r="B45" i="4"/>
  <c r="AS237" i="4"/>
  <c r="AI112" i="19"/>
  <c r="AS272" i="19"/>
  <c r="AI390" i="4"/>
  <c r="AR450" i="4"/>
  <c r="AI336" i="19"/>
  <c r="AR354" i="18"/>
  <c r="AS364" i="19"/>
  <c r="B268" i="4"/>
  <c r="AI236" i="19"/>
  <c r="C17" i="4"/>
  <c r="B239" i="4"/>
  <c r="B356" i="18"/>
  <c r="AR142" i="18"/>
  <c r="AR174" i="4"/>
  <c r="C142" i="18"/>
  <c r="AR140" i="19"/>
  <c r="AS111" i="18"/>
  <c r="AR174" i="19"/>
  <c r="AI140" i="19"/>
  <c r="AS207" i="4"/>
  <c r="C452" i="4"/>
  <c r="B140" i="18"/>
  <c r="B359" i="4"/>
  <c r="B80" i="21"/>
  <c r="AI78" i="18"/>
  <c r="AS170" i="18"/>
  <c r="C49" i="21"/>
  <c r="B390" i="4"/>
  <c r="B419" i="4"/>
  <c r="AI366" i="19"/>
  <c r="AR328" i="4"/>
  <c r="B172" i="21"/>
  <c r="AS174" i="19"/>
  <c r="AI450" i="4"/>
  <c r="B202" i="18"/>
  <c r="B17" i="19"/>
  <c r="AS450" i="4"/>
  <c r="C139" i="4"/>
  <c r="AR304" i="21"/>
  <c r="AI13" i="21"/>
  <c r="C140" i="21"/>
  <c r="AI368" i="19"/>
  <c r="AS15" i="21"/>
  <c r="AI330" i="4"/>
  <c r="B174" i="4"/>
  <c r="AI266" i="4"/>
  <c r="AI174" i="4" l="1"/>
  <c r="X15" i="21"/>
  <c r="J304" i="21"/>
  <c r="X450" i="4"/>
  <c r="X174" i="19"/>
  <c r="B170" i="21"/>
  <c r="J328" i="4"/>
  <c r="B417" i="4"/>
  <c r="X170" i="18"/>
  <c r="X207" i="4"/>
  <c r="J174" i="19"/>
  <c r="X111" i="18"/>
  <c r="J140" i="19"/>
  <c r="J174" i="4"/>
  <c r="J142" i="18"/>
  <c r="X364" i="19"/>
  <c r="J354" i="18"/>
  <c r="J450" i="4"/>
  <c r="X272" i="19"/>
  <c r="X237" i="4"/>
  <c r="AS45" i="4"/>
  <c r="X45" i="4" s="1"/>
  <c r="AI45" i="4"/>
  <c r="AR45" i="4"/>
  <c r="J45" i="4" s="1"/>
  <c r="B43" i="4"/>
  <c r="X356" i="18"/>
  <c r="B350" i="18"/>
  <c r="J240" i="21"/>
  <c r="J334" i="21"/>
  <c r="AI143" i="4"/>
  <c r="B231" i="4"/>
  <c r="J113" i="4"/>
  <c r="X268" i="4"/>
  <c r="J294" i="18"/>
  <c r="B74" i="18"/>
  <c r="J233" i="4"/>
  <c r="J144" i="19"/>
  <c r="X354" i="18"/>
  <c r="X172" i="19"/>
  <c r="X396" i="19"/>
  <c r="J140" i="18"/>
  <c r="B136" i="18"/>
  <c r="J300" i="21"/>
  <c r="X264" i="4"/>
  <c r="J270" i="19"/>
  <c r="X357" i="4"/>
  <c r="X208" i="19"/>
  <c r="X366" i="19"/>
  <c r="B168" i="4"/>
  <c r="AI170" i="4"/>
  <c r="X176" i="19"/>
  <c r="X236" i="19"/>
  <c r="J170" i="18"/>
  <c r="J297" i="4"/>
  <c r="B11" i="4"/>
  <c r="AS13" i="4"/>
  <c r="X13" i="4" s="1"/>
  <c r="AI13" i="4"/>
  <c r="AR13" i="4"/>
  <c r="J13" i="4" s="1"/>
  <c r="J172" i="4"/>
  <c r="AI107" i="4"/>
  <c r="B105" i="4"/>
  <c r="AI229" i="18"/>
  <c r="B227" i="18"/>
  <c r="X206" i="19"/>
  <c r="J332" i="19"/>
  <c r="AI207" i="4"/>
  <c r="J299" i="4"/>
  <c r="J268" i="19"/>
  <c r="X142" i="19"/>
  <c r="X392" i="4"/>
  <c r="X108" i="19"/>
  <c r="J357" i="4"/>
  <c r="J396" i="19"/>
  <c r="AI233" i="18"/>
  <c r="X168" i="18"/>
  <c r="J198" i="18"/>
  <c r="J238" i="19"/>
  <c r="AI292" i="18"/>
  <c r="J236" i="19"/>
  <c r="X352" i="18"/>
  <c r="X364" i="21"/>
  <c r="B324" i="4"/>
  <c r="J110" i="21"/>
  <c r="J107" i="4"/>
  <c r="X270" i="21"/>
  <c r="X110" i="21"/>
  <c r="J364" i="21"/>
  <c r="J203" i="4"/>
  <c r="X359" i="4"/>
  <c r="J264" i="4"/>
  <c r="X233" i="18"/>
  <c r="J392" i="4"/>
  <c r="X140" i="18"/>
  <c r="B288" i="18"/>
  <c r="AI290" i="18"/>
  <c r="X390" i="4"/>
  <c r="J292" i="18"/>
  <c r="J17" i="21"/>
  <c r="J139" i="4"/>
  <c r="X299" i="4"/>
  <c r="AS80" i="4"/>
  <c r="X80" i="4" s="1"/>
  <c r="T66" i="4" s="1"/>
  <c r="C22" i="16" s="1"/>
  <c r="AR80" i="4"/>
  <c r="J80" i="4" s="1"/>
  <c r="AI80" i="4"/>
  <c r="J359" i="4"/>
  <c r="X205" i="4"/>
  <c r="X172" i="18"/>
  <c r="X140" i="19"/>
  <c r="X110" i="19"/>
  <c r="B106" i="21"/>
  <c r="J419" i="4"/>
  <c r="X140" i="21"/>
  <c r="X300" i="19"/>
  <c r="J332" i="21"/>
  <c r="J176" i="19"/>
  <c r="B74" i="21"/>
  <c r="J208" i="21"/>
  <c r="X107" i="18"/>
  <c r="AR78" i="4"/>
  <c r="J78" i="4" s="1"/>
  <c r="AS78" i="4"/>
  <c r="X78" i="4" s="1"/>
  <c r="AI78" i="4"/>
  <c r="B11" i="21"/>
  <c r="X366" i="21"/>
  <c r="J110" i="19"/>
  <c r="J304" i="19"/>
  <c r="X204" i="21"/>
  <c r="J15" i="21"/>
  <c r="X139" i="4"/>
  <c r="J268" i="4"/>
  <c r="J270" i="21"/>
  <c r="B258" i="18"/>
  <c r="J352" i="18"/>
  <c r="J326" i="4"/>
  <c r="J237" i="4"/>
  <c r="X368" i="21"/>
  <c r="X107" i="4"/>
  <c r="X321" i="18"/>
  <c r="X238" i="21"/>
  <c r="AI294" i="18"/>
  <c r="X297" i="4"/>
  <c r="B105" i="18"/>
  <c r="X17" i="21"/>
  <c r="J202" i="18"/>
  <c r="X13" i="21"/>
  <c r="T3" i="21" s="1"/>
  <c r="U7" i="16" s="1"/>
  <c r="B202" i="19"/>
  <c r="X304" i="19"/>
  <c r="J231" i="18"/>
  <c r="AI231" i="18"/>
  <c r="X266" i="4"/>
  <c r="AI139" i="4"/>
  <c r="B137" i="4"/>
  <c r="J109" i="4"/>
  <c r="X109" i="18"/>
  <c r="J260" i="18"/>
  <c r="AI113" i="4"/>
  <c r="J172" i="21"/>
  <c r="J266" i="4"/>
  <c r="X233" i="4"/>
  <c r="J336" i="21"/>
  <c r="J206" i="19"/>
  <c r="J206" i="21"/>
  <c r="J109" i="18"/>
  <c r="X204" i="19"/>
  <c r="AS15" i="4"/>
  <c r="X15" i="4" s="1"/>
  <c r="AI15" i="4"/>
  <c r="AR15" i="4"/>
  <c r="J15" i="4" s="1"/>
  <c r="X326" i="4"/>
  <c r="J168" i="18"/>
  <c r="J229" i="18"/>
  <c r="J111" i="4"/>
  <c r="AS47" i="4"/>
  <c r="X47" i="4" s="1"/>
  <c r="AR47" i="4"/>
  <c r="J47" i="4" s="1"/>
  <c r="AI47" i="4"/>
  <c r="J233" i="18"/>
  <c r="J235" i="4"/>
  <c r="J208" i="19"/>
  <c r="X240" i="21"/>
  <c r="X111" i="4"/>
  <c r="J302" i="21"/>
  <c r="X201" i="4"/>
  <c r="T191" i="4" s="1"/>
  <c r="C55" i="16" s="1"/>
  <c r="X198" i="18"/>
  <c r="X238" i="19"/>
  <c r="J107" i="18"/>
  <c r="B166" i="18"/>
  <c r="J204" i="19"/>
  <c r="J390" i="4"/>
  <c r="J112" i="21"/>
  <c r="B199" i="4"/>
  <c r="AI201" i="4"/>
  <c r="J264" i="18"/>
  <c r="X229" i="18"/>
  <c r="J238" i="21"/>
  <c r="X294" i="18"/>
  <c r="X334" i="19"/>
  <c r="J207" i="4"/>
  <c r="X109" i="4"/>
  <c r="J300" i="19"/>
  <c r="C328" i="4"/>
  <c r="C330" i="4" s="1"/>
  <c r="X304" i="21"/>
  <c r="X113" i="4"/>
  <c r="J205" i="4"/>
  <c r="X108" i="21"/>
  <c r="X236" i="21"/>
  <c r="J138" i="18"/>
  <c r="X388" i="4"/>
  <c r="X138" i="18"/>
  <c r="B43" i="19"/>
  <c r="AR45" i="19"/>
  <c r="J45" i="19" s="1"/>
  <c r="J398" i="19"/>
  <c r="J368" i="21"/>
  <c r="AI19" i="4"/>
  <c r="X231" i="18"/>
  <c r="AS17" i="4"/>
  <c r="X17" i="4" s="1"/>
  <c r="AR17" i="4"/>
  <c r="J17" i="4" s="1"/>
  <c r="AI17" i="4"/>
  <c r="X452" i="4"/>
  <c r="J108" i="19"/>
  <c r="X332" i="19"/>
  <c r="J204" i="21"/>
  <c r="AI172" i="4"/>
  <c r="X203" i="4"/>
  <c r="J290" i="18"/>
  <c r="X295" i="4"/>
  <c r="J295" i="4"/>
  <c r="X208" i="21"/>
  <c r="X290" i="18"/>
  <c r="J366" i="21"/>
  <c r="X144" i="19"/>
  <c r="J302" i="19"/>
  <c r="J323" i="18"/>
  <c r="X264" i="18"/>
  <c r="J170" i="4"/>
  <c r="X325" i="18"/>
  <c r="J144" i="21"/>
  <c r="J388" i="4"/>
  <c r="J200" i="18"/>
  <c r="J108" i="21"/>
  <c r="B293" i="4"/>
  <c r="AI111" i="4"/>
  <c r="X144" i="21"/>
  <c r="J356" i="18"/>
  <c r="J172" i="18"/>
  <c r="X260" i="18"/>
  <c r="J112" i="19"/>
  <c r="J452" i="4"/>
  <c r="J334" i="19"/>
  <c r="B43" i="21"/>
  <c r="J140" i="21"/>
  <c r="AI141" i="4"/>
  <c r="J272" i="19"/>
  <c r="X330" i="4"/>
  <c r="B196" i="18"/>
  <c r="AI109" i="4"/>
  <c r="X172" i="4"/>
  <c r="J142" i="21"/>
  <c r="B74" i="19"/>
  <c r="X170" i="4"/>
  <c r="X176" i="21"/>
  <c r="X270" i="19"/>
  <c r="J321" i="18"/>
  <c r="X174" i="4"/>
  <c r="J272" i="21"/>
  <c r="J201" i="4"/>
  <c r="X398" i="19"/>
  <c r="J325" i="18"/>
  <c r="X262" i="18"/>
  <c r="X200" i="18"/>
  <c r="B74" i="4"/>
  <c r="AI76" i="4"/>
  <c r="AR76" i="4"/>
  <c r="J76" i="4" s="1"/>
  <c r="AS76" i="4"/>
  <c r="X76" i="4" s="1"/>
  <c r="AI205" i="4"/>
  <c r="X268" i="21"/>
  <c r="AR49" i="4"/>
  <c r="J49" i="4" s="1"/>
  <c r="AI49" i="4"/>
  <c r="AS49" i="4"/>
  <c r="X49" i="4" s="1"/>
  <c r="X302" i="21"/>
  <c r="J176" i="21"/>
  <c r="AI203" i="4"/>
  <c r="J240" i="19"/>
  <c r="J236" i="21"/>
  <c r="X174" i="21"/>
  <c r="J366" i="19"/>
  <c r="X302" i="19"/>
  <c r="X143" i="4"/>
  <c r="X336" i="21"/>
  <c r="B355" i="4"/>
  <c r="X334" i="21"/>
  <c r="J262" i="18"/>
  <c r="J13" i="21"/>
  <c r="J142" i="19"/>
  <c r="X142" i="21"/>
  <c r="J268" i="21"/>
  <c r="J368" i="19"/>
  <c r="X240" i="19"/>
  <c r="X292" i="18"/>
  <c r="B386" i="4"/>
  <c r="X202" i="18"/>
  <c r="X235" i="4"/>
  <c r="J141" i="4"/>
  <c r="B11" i="19"/>
  <c r="X419" i="4"/>
  <c r="X112" i="19"/>
  <c r="J143" i="4"/>
  <c r="X300" i="21"/>
  <c r="X172" i="21"/>
  <c r="J172" i="19"/>
  <c r="X368" i="19"/>
  <c r="J174" i="21"/>
  <c r="J364" i="19"/>
  <c r="B138" i="21"/>
  <c r="X206" i="21"/>
  <c r="X141" i="4"/>
  <c r="X332" i="21"/>
  <c r="B448" i="4"/>
  <c r="B319" i="18"/>
  <c r="X112" i="21"/>
  <c r="X328" i="4"/>
  <c r="X142" i="18"/>
  <c r="J330" i="4"/>
  <c r="X268" i="19"/>
  <c r="J111" i="18"/>
  <c r="X323" i="18"/>
  <c r="X272" i="21"/>
  <c r="B262" i="4"/>
</calcChain>
</file>

<file path=xl/sharedStrings.xml><?xml version="1.0" encoding="utf-8"?>
<sst xmlns="http://schemas.openxmlformats.org/spreadsheetml/2006/main" count="3062" uniqueCount="621">
  <si>
    <t>会場担当</t>
  </si>
  <si>
    <t>会場</t>
  </si>
  <si>
    <t>開催日</t>
  </si>
  <si>
    <t>試合開始</t>
  </si>
  <si>
    <t>監督サイン</t>
  </si>
  <si>
    <t>チーム名</t>
  </si>
  <si>
    <t>主審／副審／副審／４審</t>
  </si>
  <si>
    <t>－</t>
  </si>
  <si>
    <t>警告／退場</t>
  </si>
  <si>
    <t>氏名</t>
  </si>
  <si>
    <t>番号</t>
  </si>
  <si>
    <t>理由</t>
  </si>
  <si>
    <t>警告　　退場</t>
  </si>
  <si>
    <r>
      <rPr>
        <b/>
        <sz val="12"/>
        <color indexed="8"/>
        <rFont val="AR P丸ゴシック体M"/>
        <family val="3"/>
        <charset val="128"/>
      </rPr>
      <t>警告　　</t>
    </r>
    <r>
      <rPr>
        <b/>
        <strike/>
        <sz val="12"/>
        <color indexed="8"/>
        <rFont val="AR P丸ゴシック体M"/>
        <family val="3"/>
        <charset val="128"/>
      </rPr>
      <t>退場</t>
    </r>
  </si>
  <si>
    <t>試合数</t>
  </si>
  <si>
    <t>Ａ ブロック</t>
    <phoneticPr fontId="28"/>
  </si>
  <si>
    <t>Ｂ ブロック</t>
    <phoneticPr fontId="28"/>
  </si>
  <si>
    <t>Ｃ ブロック</t>
    <phoneticPr fontId="28"/>
  </si>
  <si>
    <t>Ｄ ブロック</t>
    <phoneticPr fontId="28"/>
  </si>
  <si>
    <t>備　考</t>
    <rPh sb="0" eb="1">
      <t>ビ</t>
    </rPh>
    <rPh sb="2" eb="3">
      <t>コウ</t>
    </rPh>
    <phoneticPr fontId="28"/>
  </si>
  <si>
    <t>（９チーム）</t>
    <phoneticPr fontId="28"/>
  </si>
  <si>
    <t>１節</t>
    <phoneticPr fontId="25"/>
  </si>
  <si>
    <t>日</t>
    <rPh sb="0" eb="1">
      <t>ニチ</t>
    </rPh>
    <phoneticPr fontId="28"/>
  </si>
  <si>
    <t>２節</t>
    <phoneticPr fontId="25"/>
  </si>
  <si>
    <t>土</t>
    <rPh sb="0" eb="1">
      <t>ド</t>
    </rPh>
    <phoneticPr fontId="28"/>
  </si>
  <si>
    <t>３節</t>
    <phoneticPr fontId="25"/>
  </si>
  <si>
    <t>４節</t>
    <phoneticPr fontId="25"/>
  </si>
  <si>
    <t>連絡先</t>
    <phoneticPr fontId="28"/>
  </si>
  <si>
    <t xml:space="preserve"> 〒329-1105
 宇都宮市中岡本町3713-239
　ham-hase@pa2.so-net.ne.jp</t>
    <phoneticPr fontId="28"/>
  </si>
  <si>
    <t>ブロック</t>
    <phoneticPr fontId="25"/>
  </si>
  <si>
    <t>会　場</t>
    <rPh sb="0" eb="1">
      <t>カイ</t>
    </rPh>
    <rPh sb="2" eb="3">
      <t>バ</t>
    </rPh>
    <phoneticPr fontId="25"/>
  </si>
  <si>
    <t>会場担当</t>
    <rPh sb="0" eb="2">
      <t>カイジョウ</t>
    </rPh>
    <rPh sb="2" eb="4">
      <t>タントウ</t>
    </rPh>
    <phoneticPr fontId="25"/>
  </si>
  <si>
    <t>スコア</t>
    <phoneticPr fontId="25"/>
  </si>
  <si>
    <t>スコア</t>
    <phoneticPr fontId="25"/>
  </si>
  <si>
    <t>上河内ＪＳＣ</t>
    <rPh sb="0" eb="3">
      <t>カミカワチ</t>
    </rPh>
    <phoneticPr fontId="25"/>
  </si>
  <si>
    <t>-</t>
    <phoneticPr fontId="25"/>
  </si>
  <si>
    <t>Ｃ　ブロック
運営責任者</t>
  </si>
  <si>
    <t>Ｂ　ブロック
運営責任者</t>
  </si>
  <si>
    <t>連絡先</t>
  </si>
  <si>
    <t>Ａ　ブロック
運営責任者</t>
  </si>
  <si>
    <t>４節</t>
    <rPh sb="1" eb="2">
      <t>セツ</t>
    </rPh>
    <phoneticPr fontId="28"/>
  </si>
  <si>
    <t>３節</t>
    <rPh sb="1" eb="2">
      <t>セツ</t>
    </rPh>
    <phoneticPr fontId="28"/>
  </si>
  <si>
    <t>２節</t>
    <rPh sb="1" eb="2">
      <t>セツ</t>
    </rPh>
    <phoneticPr fontId="28"/>
  </si>
  <si>
    <t>１節</t>
    <rPh sb="1" eb="2">
      <t>セツ</t>
    </rPh>
    <phoneticPr fontId="28"/>
  </si>
  <si>
    <t>複数ｴﾝﾄﾘｰ
チーム</t>
    <phoneticPr fontId="25"/>
  </si>
  <si>
    <t>シード２</t>
    <phoneticPr fontId="25"/>
  </si>
  <si>
    <t>シード１</t>
    <phoneticPr fontId="25"/>
  </si>
  <si>
    <t>会場チーム</t>
    <rPh sb="0" eb="2">
      <t>カイジョウ</t>
    </rPh>
    <phoneticPr fontId="28"/>
  </si>
  <si>
    <t>ﾌﾞﾛｯｸ責任者チーム</t>
    <rPh sb="5" eb="8">
      <t>セキニンシャ</t>
    </rPh>
    <phoneticPr fontId="28"/>
  </si>
  <si>
    <t>ブロック別　組合せ・日程 ・ 会場一覧</t>
    <rPh sb="4" eb="5">
      <t>ベツ</t>
    </rPh>
    <rPh sb="6" eb="8">
      <t>クミアワ</t>
    </rPh>
    <rPh sb="10" eb="12">
      <t>ニッテイ</t>
    </rPh>
    <rPh sb="15" eb="17">
      <t>カイジョウ</t>
    </rPh>
    <rPh sb="17" eb="19">
      <t>イチラン</t>
    </rPh>
    <phoneticPr fontId="28"/>
  </si>
  <si>
    <t>5/8/2/5</t>
    <phoneticPr fontId="25"/>
  </si>
  <si>
    <t>6/9/3/6</t>
    <phoneticPr fontId="25"/>
  </si>
  <si>
    <t>2/5/8/2</t>
    <phoneticPr fontId="25"/>
  </si>
  <si>
    <t>3/6/9/3</t>
    <phoneticPr fontId="25"/>
  </si>
  <si>
    <t>8/2/5/8</t>
    <phoneticPr fontId="25"/>
  </si>
  <si>
    <t>9/3/6/9</t>
    <phoneticPr fontId="25"/>
  </si>
  <si>
    <t>4/7/1/4</t>
    <phoneticPr fontId="25"/>
  </si>
  <si>
    <t>1/4/7/1</t>
    <phoneticPr fontId="25"/>
  </si>
  <si>
    <t>7/1/4/7</t>
    <phoneticPr fontId="25"/>
  </si>
  <si>
    <t>8/9/7/8</t>
    <phoneticPr fontId="25"/>
  </si>
  <si>
    <t>5/6/4/5</t>
    <phoneticPr fontId="25"/>
  </si>
  <si>
    <t>7/8/9/7</t>
    <phoneticPr fontId="25"/>
  </si>
  <si>
    <t>4/5/6/4</t>
    <phoneticPr fontId="25"/>
  </si>
  <si>
    <t>9/7/8/9</t>
    <phoneticPr fontId="25"/>
  </si>
  <si>
    <t>6/4/5/6</t>
    <phoneticPr fontId="25"/>
  </si>
  <si>
    <t>2/3/1/2</t>
    <phoneticPr fontId="25"/>
  </si>
  <si>
    <t>1/2/3/1</t>
    <phoneticPr fontId="25"/>
  </si>
  <si>
    <t>3/1/2/3</t>
    <phoneticPr fontId="25"/>
  </si>
  <si>
    <t>ＪＦＡ　U-12サッカーリーグ2021（in栃木） 宇河地域リーグ戦（前期）</t>
    <rPh sb="35" eb="36">
      <t>マエ</t>
    </rPh>
    <phoneticPr fontId="25"/>
  </si>
  <si>
    <t>【　第１節　】</t>
  </si>
  <si>
    <t>【　第２節　】</t>
    <phoneticPr fontId="25"/>
  </si>
  <si>
    <t>会　場</t>
  </si>
  <si>
    <t>【　第３節　】</t>
    <phoneticPr fontId="25"/>
  </si>
  <si>
    <t>【　第４節　】</t>
    <phoneticPr fontId="25"/>
  </si>
  <si>
    <t>ＪＦＡ　Ｕ-１２サッカーリーグ2021（in栃木） 宇都宮地区リーグ戦（前期）</t>
    <rPh sb="26" eb="29">
      <t>ウツノミヤ</t>
    </rPh>
    <rPh sb="29" eb="31">
      <t>チク</t>
    </rPh>
    <rPh sb="36" eb="38">
      <t>ゼンキ</t>
    </rPh>
    <phoneticPr fontId="28"/>
  </si>
  <si>
    <t>9/1/5/9</t>
    <phoneticPr fontId="25"/>
  </si>
  <si>
    <t>1/5/9/1</t>
    <phoneticPr fontId="25"/>
  </si>
  <si>
    <t>5/9/1/5</t>
    <phoneticPr fontId="25"/>
  </si>
  <si>
    <t>8/1/6/8</t>
    <phoneticPr fontId="25"/>
  </si>
  <si>
    <t>1/6/8/1</t>
    <phoneticPr fontId="25"/>
  </si>
  <si>
    <t>6/8/1/6</t>
    <phoneticPr fontId="25"/>
  </si>
  <si>
    <t>9/2/4/9</t>
    <phoneticPr fontId="25"/>
  </si>
  <si>
    <t>2/4/9/2</t>
    <phoneticPr fontId="25"/>
  </si>
  <si>
    <t>4/9/2/4</t>
    <phoneticPr fontId="25"/>
  </si>
  <si>
    <t>7/3/5/7</t>
    <phoneticPr fontId="25"/>
  </si>
  <si>
    <t>5/7/3/5</t>
    <phoneticPr fontId="25"/>
  </si>
  <si>
    <t>3/5/7/3</t>
    <phoneticPr fontId="25"/>
  </si>
  <si>
    <t>D　ブロック
運営責任者</t>
    <phoneticPr fontId="25"/>
  </si>
  <si>
    <t xml:space="preserve"> 〒320-0942
　宇都宮市峰２－１２－１７
　sp6b6au9@polka.ocn.ne.jp</t>
    <phoneticPr fontId="28"/>
  </si>
  <si>
    <t>A11</t>
  </si>
  <si>
    <t>5-6</t>
    <phoneticPr fontId="25"/>
  </si>
  <si>
    <t>6-7</t>
    <phoneticPr fontId="25"/>
  </si>
  <si>
    <t>5-7</t>
    <phoneticPr fontId="25"/>
  </si>
  <si>
    <t>8-9</t>
    <phoneticPr fontId="25"/>
  </si>
  <si>
    <t>9-10</t>
    <phoneticPr fontId="25"/>
  </si>
  <si>
    <t>8-10</t>
    <phoneticPr fontId="25"/>
  </si>
  <si>
    <t>1-2</t>
    <phoneticPr fontId="25"/>
  </si>
  <si>
    <t>3-4</t>
    <phoneticPr fontId="25"/>
  </si>
  <si>
    <t>2-4</t>
    <phoneticPr fontId="25"/>
  </si>
  <si>
    <t>1-5</t>
    <phoneticPr fontId="25"/>
  </si>
  <si>
    <t>2-8</t>
    <phoneticPr fontId="25"/>
  </si>
  <si>
    <t>1-8</t>
    <phoneticPr fontId="25"/>
  </si>
  <si>
    <t>2-5</t>
    <phoneticPr fontId="25"/>
  </si>
  <si>
    <t>3-6</t>
  </si>
  <si>
    <t>6-9</t>
    <phoneticPr fontId="25"/>
  </si>
  <si>
    <t>3-9</t>
    <phoneticPr fontId="25"/>
  </si>
  <si>
    <t>4-7</t>
    <phoneticPr fontId="25"/>
  </si>
  <si>
    <t>7-10</t>
    <phoneticPr fontId="25"/>
  </si>
  <si>
    <t>4-10</t>
    <phoneticPr fontId="25"/>
  </si>
  <si>
    <t>1-4</t>
    <phoneticPr fontId="25"/>
  </si>
  <si>
    <t>4-9</t>
    <phoneticPr fontId="25"/>
  </si>
  <si>
    <t>1-9</t>
    <phoneticPr fontId="25"/>
  </si>
  <si>
    <t>2-3</t>
    <phoneticPr fontId="25"/>
  </si>
  <si>
    <t>2-7</t>
    <phoneticPr fontId="25"/>
  </si>
  <si>
    <t>4-8</t>
    <phoneticPr fontId="25"/>
  </si>
  <si>
    <t>5-8</t>
    <phoneticPr fontId="25"/>
  </si>
  <si>
    <t>2-6</t>
    <phoneticPr fontId="25"/>
  </si>
  <si>
    <t>2-9</t>
    <phoneticPr fontId="25"/>
  </si>
  <si>
    <t>3-7</t>
    <phoneticPr fontId="25"/>
  </si>
  <si>
    <t>3-10</t>
    <phoneticPr fontId="25"/>
  </si>
  <si>
    <t>2-10</t>
    <phoneticPr fontId="25"/>
  </si>
  <si>
    <t>5-10</t>
    <phoneticPr fontId="25"/>
  </si>
  <si>
    <t>1-6</t>
    <phoneticPr fontId="25"/>
  </si>
  <si>
    <t>6-10</t>
    <phoneticPr fontId="25"/>
  </si>
  <si>
    <t>1-10</t>
    <phoneticPr fontId="25"/>
  </si>
  <si>
    <t>7-8</t>
    <phoneticPr fontId="25"/>
  </si>
  <si>
    <t>1-7</t>
    <phoneticPr fontId="25"/>
  </si>
  <si>
    <t>3-5</t>
    <phoneticPr fontId="25"/>
  </si>
  <si>
    <t>3-8</t>
    <phoneticPr fontId="25"/>
  </si>
  <si>
    <t>4-6</t>
    <phoneticPr fontId="25"/>
  </si>
  <si>
    <t>6-8</t>
    <phoneticPr fontId="25"/>
  </si>
  <si>
    <t>456</t>
    <phoneticPr fontId="25"/>
  </si>
  <si>
    <t>258</t>
    <phoneticPr fontId="25"/>
  </si>
  <si>
    <t>369</t>
    <phoneticPr fontId="25"/>
  </si>
  <si>
    <t>348</t>
    <phoneticPr fontId="25"/>
  </si>
  <si>
    <t>249</t>
    <phoneticPr fontId="25"/>
  </si>
  <si>
    <t>3-1</t>
    <phoneticPr fontId="25"/>
  </si>
  <si>
    <t>5-4</t>
    <phoneticPr fontId="25"/>
  </si>
  <si>
    <t>9-5</t>
    <phoneticPr fontId="25"/>
  </si>
  <si>
    <t>9-7</t>
    <phoneticPr fontId="25"/>
  </si>
  <si>
    <t>５節</t>
  </si>
  <si>
    <t>土</t>
  </si>
  <si>
    <t>予備日</t>
    <rPh sb="0" eb="3">
      <t>ヨビビ</t>
    </rPh>
    <phoneticPr fontId="25"/>
  </si>
  <si>
    <t>（10チーム）</t>
    <phoneticPr fontId="28"/>
  </si>
  <si>
    <t>B123</t>
  </si>
  <si>
    <t>B456</t>
  </si>
  <si>
    <t>B789</t>
  </si>
  <si>
    <t>B147</t>
  </si>
  <si>
    <t>B258</t>
  </si>
  <si>
    <t>B369</t>
  </si>
  <si>
    <t>B159</t>
  </si>
  <si>
    <t>B267</t>
  </si>
  <si>
    <t>B348</t>
  </si>
  <si>
    <t>B168</t>
  </si>
  <si>
    <t>B249</t>
  </si>
  <si>
    <t>B357</t>
  </si>
  <si>
    <t>C123</t>
  </si>
  <si>
    <t>D123</t>
  </si>
  <si>
    <t>D456</t>
  </si>
  <si>
    <t>D789</t>
  </si>
  <si>
    <t>D147</t>
  </si>
  <si>
    <t>D258</t>
  </si>
  <si>
    <t>D369</t>
  </si>
  <si>
    <t>D159</t>
  </si>
  <si>
    <t>D267</t>
  </si>
  <si>
    <t>D348</t>
  </si>
  <si>
    <t>D168</t>
  </si>
  <si>
    <t>D249</t>
  </si>
  <si>
    <t>D357</t>
  </si>
  <si>
    <t>A1234</t>
    <phoneticPr fontId="25"/>
  </si>
  <si>
    <t>A567</t>
    <phoneticPr fontId="25"/>
  </si>
  <si>
    <t>A1458</t>
    <phoneticPr fontId="25"/>
  </si>
  <si>
    <t>A269</t>
    <phoneticPr fontId="25"/>
  </si>
  <si>
    <t>A2359</t>
    <phoneticPr fontId="25"/>
  </si>
  <si>
    <t>A478</t>
    <phoneticPr fontId="25"/>
  </si>
  <si>
    <t>A1579</t>
    <phoneticPr fontId="25"/>
  </si>
  <si>
    <t>A368</t>
    <phoneticPr fontId="25"/>
  </si>
  <si>
    <t>A1469</t>
    <phoneticPr fontId="25"/>
  </si>
  <si>
    <r>
      <t>A89</t>
    </r>
    <r>
      <rPr>
        <u/>
        <sz val="11"/>
        <color indexed="8"/>
        <rFont val="AR丸ゴシック体M"/>
        <family val="3"/>
        <charset val="128"/>
      </rPr>
      <t>10</t>
    </r>
    <phoneticPr fontId="25"/>
  </si>
  <si>
    <r>
      <t>A37</t>
    </r>
    <r>
      <rPr>
        <u/>
        <sz val="11"/>
        <color indexed="8"/>
        <rFont val="AR丸ゴシック体M"/>
        <family val="3"/>
        <charset val="128"/>
      </rPr>
      <t>10</t>
    </r>
    <phoneticPr fontId="25"/>
  </si>
  <si>
    <r>
      <t>A16</t>
    </r>
    <r>
      <rPr>
        <u/>
        <sz val="11"/>
        <color indexed="8"/>
        <rFont val="AR丸ゴシック体M"/>
        <family val="3"/>
        <charset val="128"/>
      </rPr>
      <t>10</t>
    </r>
    <phoneticPr fontId="25"/>
  </si>
  <si>
    <r>
      <t>A24</t>
    </r>
    <r>
      <rPr>
        <u/>
        <sz val="11"/>
        <color indexed="8"/>
        <rFont val="AR丸ゴシック体M"/>
        <family val="3"/>
        <charset val="128"/>
      </rPr>
      <t>10</t>
    </r>
    <phoneticPr fontId="25"/>
  </si>
  <si>
    <t>3/4/4/3</t>
    <phoneticPr fontId="25"/>
  </si>
  <si>
    <t>2/1/1/2</t>
    <phoneticPr fontId="25"/>
  </si>
  <si>
    <t>4/2/2/4</t>
    <phoneticPr fontId="25"/>
  </si>
  <si>
    <t>1/3/3/1</t>
    <phoneticPr fontId="25"/>
  </si>
  <si>
    <t>7/5/6/7</t>
    <phoneticPr fontId="25"/>
  </si>
  <si>
    <t>5/6/7/5</t>
    <phoneticPr fontId="25"/>
  </si>
  <si>
    <t>6/7/5/6</t>
    <phoneticPr fontId="25"/>
  </si>
  <si>
    <t>10/8/9/10</t>
    <phoneticPr fontId="25"/>
  </si>
  <si>
    <t>8/9/10/8</t>
    <phoneticPr fontId="25"/>
  </si>
  <si>
    <t>9/10/8/9</t>
    <phoneticPr fontId="25"/>
  </si>
  <si>
    <t>5/8/8/5</t>
    <phoneticPr fontId="25"/>
  </si>
  <si>
    <t>1/4/4/1</t>
    <phoneticPr fontId="25"/>
  </si>
  <si>
    <t>4/5/5/4</t>
    <phoneticPr fontId="25"/>
  </si>
  <si>
    <t>8/1/1/8</t>
    <phoneticPr fontId="25"/>
  </si>
  <si>
    <t>9/2/6/9</t>
    <phoneticPr fontId="25"/>
  </si>
  <si>
    <t>6/9/2/6</t>
    <phoneticPr fontId="25"/>
  </si>
  <si>
    <t>2/6/9/2</t>
    <phoneticPr fontId="25"/>
  </si>
  <si>
    <t>10/3/7/10</t>
    <phoneticPr fontId="25"/>
  </si>
  <si>
    <t>3/7/10/3</t>
    <phoneticPr fontId="25"/>
  </si>
  <si>
    <t>7/10/3/7</t>
    <phoneticPr fontId="25"/>
  </si>
  <si>
    <t>5/9/9/5</t>
    <phoneticPr fontId="25"/>
  </si>
  <si>
    <t>1/5/5/1</t>
    <phoneticPr fontId="25"/>
  </si>
  <si>
    <t>【　第5節　】</t>
    <phoneticPr fontId="25"/>
  </si>
  <si>
    <t>6/1/1/6</t>
    <phoneticPr fontId="25"/>
  </si>
  <si>
    <t>1/9/9/1</t>
    <phoneticPr fontId="25"/>
  </si>
  <si>
    <t>4/6/6/4</t>
    <phoneticPr fontId="25"/>
  </si>
  <si>
    <t>【　第３節　】続き</t>
    <rPh sb="7" eb="8">
      <t>ツヅ</t>
    </rPh>
    <phoneticPr fontId="25"/>
  </si>
  <si>
    <t>FCみらいP</t>
    <phoneticPr fontId="25"/>
  </si>
  <si>
    <t>FCみらいV</t>
    <phoneticPr fontId="25"/>
  </si>
  <si>
    <t>ウエストフットコム</t>
    <phoneticPr fontId="25"/>
  </si>
  <si>
    <t>ともぞうSC　U11</t>
    <phoneticPr fontId="25"/>
  </si>
  <si>
    <t>昭和・戸祭SC</t>
    <rPh sb="0" eb="2">
      <t>ショウワ</t>
    </rPh>
    <rPh sb="3" eb="5">
      <t>トマツリ</t>
    </rPh>
    <phoneticPr fontId="25"/>
  </si>
  <si>
    <t>ジュベニール</t>
    <phoneticPr fontId="25"/>
  </si>
  <si>
    <t>ウエストフットコムU11</t>
    <phoneticPr fontId="25"/>
  </si>
  <si>
    <t>清原フューチャーズ</t>
    <rPh sb="0" eb="2">
      <t>キヨハラ</t>
    </rPh>
    <phoneticPr fontId="25"/>
  </si>
  <si>
    <t>シャルムグランツSC</t>
    <phoneticPr fontId="25"/>
  </si>
  <si>
    <t>FCブロケード</t>
    <phoneticPr fontId="25"/>
  </si>
  <si>
    <t>みはらSC jr</t>
    <phoneticPr fontId="25"/>
  </si>
  <si>
    <t>豊郷JFC宇都宮U-12</t>
    <rPh sb="0" eb="2">
      <t>トヨサト</t>
    </rPh>
    <rPh sb="5" eb="8">
      <t>ウツノミヤ</t>
    </rPh>
    <phoneticPr fontId="25"/>
  </si>
  <si>
    <t>宇大付属小SSS U11</t>
    <rPh sb="0" eb="5">
      <t>ウダイフゾクショウ</t>
    </rPh>
    <phoneticPr fontId="25"/>
  </si>
  <si>
    <t>岡西FC</t>
    <rPh sb="0" eb="2">
      <t>オカニシ</t>
    </rPh>
    <phoneticPr fontId="25"/>
  </si>
  <si>
    <t>FCグラシアス</t>
    <phoneticPr fontId="25"/>
  </si>
  <si>
    <t>上三川SC</t>
    <rPh sb="0" eb="3">
      <t>カミノカワ</t>
    </rPh>
    <phoneticPr fontId="25"/>
  </si>
  <si>
    <t>SUGAOプロミネンス</t>
    <phoneticPr fontId="25"/>
  </si>
  <si>
    <t>FCアリーバ</t>
    <phoneticPr fontId="25"/>
  </si>
  <si>
    <t>カテット白沢SS</t>
    <rPh sb="4" eb="6">
      <t>シラサワ</t>
    </rPh>
    <phoneticPr fontId="25"/>
  </si>
  <si>
    <t>雀宮FC</t>
    <rPh sb="0" eb="2">
      <t>スズメノミヤ</t>
    </rPh>
    <phoneticPr fontId="25"/>
  </si>
  <si>
    <t>宇都宮FCジュニア</t>
    <rPh sb="0" eb="3">
      <t>ウツノミヤ</t>
    </rPh>
    <phoneticPr fontId="25"/>
  </si>
  <si>
    <t>サウス宇都宮SC</t>
    <rPh sb="3" eb="6">
      <t>ウツノミヤ</t>
    </rPh>
    <phoneticPr fontId="25"/>
  </si>
  <si>
    <t>宝木キッカーズ</t>
    <rPh sb="0" eb="2">
      <t>タカラギ</t>
    </rPh>
    <phoneticPr fontId="25"/>
  </si>
  <si>
    <t>陽東SSS</t>
    <rPh sb="0" eb="1">
      <t>ヨウ</t>
    </rPh>
    <rPh sb="1" eb="2">
      <t>ヒガシ</t>
    </rPh>
    <phoneticPr fontId="25"/>
  </si>
  <si>
    <t>リフレSCチェルビアット</t>
    <phoneticPr fontId="25"/>
  </si>
  <si>
    <t>石井 3</t>
    <rPh sb="0" eb="2">
      <t>イシイ</t>
    </rPh>
    <phoneticPr fontId="25"/>
  </si>
  <si>
    <t>石井 1 AM</t>
    <rPh sb="0" eb="2">
      <t>イシイ</t>
    </rPh>
    <phoneticPr fontId="25"/>
  </si>
  <si>
    <t>石井 1 PM</t>
    <rPh sb="0" eb="2">
      <t>イシイ</t>
    </rPh>
    <phoneticPr fontId="25"/>
  </si>
  <si>
    <t>白沢 北 PM</t>
    <rPh sb="0" eb="2">
      <t>シラサワ</t>
    </rPh>
    <rPh sb="3" eb="4">
      <t>キタ</t>
    </rPh>
    <phoneticPr fontId="25"/>
  </si>
  <si>
    <t>石井 4 PM</t>
    <rPh sb="0" eb="2">
      <t>イシイ</t>
    </rPh>
    <phoneticPr fontId="25"/>
  </si>
  <si>
    <t>石井 5 AM</t>
    <rPh sb="0" eb="2">
      <t>イシイ</t>
    </rPh>
    <phoneticPr fontId="25"/>
  </si>
  <si>
    <t>石井 5 PM</t>
    <rPh sb="0" eb="2">
      <t>イシイ</t>
    </rPh>
    <phoneticPr fontId="25"/>
  </si>
  <si>
    <t>【監督会議　８：２０～】　【試合時間　２０分-５分-２０分】</t>
    <rPh sb="1" eb="3">
      <t>カントク</t>
    </rPh>
    <rPh sb="3" eb="5">
      <t>カイギ</t>
    </rPh>
    <phoneticPr fontId="25"/>
  </si>
  <si>
    <t>ＳＵＧＡＯ・ＳＣ</t>
    <phoneticPr fontId="25"/>
  </si>
  <si>
    <t>富士見ＳＳＳ</t>
    <rPh sb="0" eb="3">
      <t>フジミ</t>
    </rPh>
    <phoneticPr fontId="25"/>
  </si>
  <si>
    <t>石井ＦＣ</t>
    <rPh sb="0" eb="2">
      <t>イシイ</t>
    </rPh>
    <phoneticPr fontId="25"/>
  </si>
  <si>
    <t>ブラッドレスＳＣ</t>
    <phoneticPr fontId="25"/>
  </si>
  <si>
    <t>Ｓ４スペランツァ</t>
    <phoneticPr fontId="25"/>
  </si>
  <si>
    <t>国本ＪＳＣ</t>
    <rPh sb="0" eb="2">
      <t>クニモト</t>
    </rPh>
    <phoneticPr fontId="25"/>
  </si>
  <si>
    <t>本郷北ＦＣ</t>
    <rPh sb="0" eb="2">
      <t>ホンゴウ</t>
    </rPh>
    <rPh sb="2" eb="3">
      <t>キタ</t>
    </rPh>
    <phoneticPr fontId="25"/>
  </si>
  <si>
    <t>緑ヶ丘ＹＦＣ</t>
    <rPh sb="0" eb="3">
      <t>ミドリガオカ</t>
    </rPh>
    <phoneticPr fontId="25"/>
  </si>
  <si>
    <t>０９０−４０２８−４９５０</t>
    <phoneticPr fontId="25"/>
  </si>
  <si>
    <t>０９０－８８４６－９３１２</t>
    <phoneticPr fontId="25"/>
  </si>
  <si>
    <t>０９０－４８２４－８０２５</t>
    <phoneticPr fontId="25"/>
  </si>
  <si>
    <t xml:space="preserve"> 〒3219-0607
　河内郡上三川町西1744-304
   tsujitsujifactory@outlook.jp</t>
    <rPh sb="13" eb="15">
      <t>カワチ</t>
    </rPh>
    <rPh sb="15" eb="16">
      <t>グン</t>
    </rPh>
    <rPh sb="16" eb="19">
      <t>カミノカワ</t>
    </rPh>
    <rPh sb="19" eb="20">
      <t>マチ</t>
    </rPh>
    <rPh sb="20" eb="21">
      <t>ニシ</t>
    </rPh>
    <phoneticPr fontId="25"/>
  </si>
  <si>
    <t>〒321-0158
宇都宮市西川田本町4-10-6
sugaichifc@gmail.com</t>
    <phoneticPr fontId="25"/>
  </si>
  <si>
    <t>連絡先</t>
    <rPh sb="0" eb="3">
      <t>レンラクサキ</t>
    </rPh>
    <phoneticPr fontId="25"/>
  </si>
  <si>
    <t>０９０－３３１３－７０４７</t>
    <phoneticPr fontId="25"/>
  </si>
  <si>
    <t>白沢 南 PM</t>
    <rPh sb="0" eb="2">
      <t>シラサワ</t>
    </rPh>
    <rPh sb="3" eb="4">
      <t>ミナミ</t>
    </rPh>
    <phoneticPr fontId="25"/>
  </si>
  <si>
    <t>白沢北 AM</t>
    <rPh sb="0" eb="2">
      <t>シラサワ</t>
    </rPh>
    <rPh sb="2" eb="3">
      <t>キタ</t>
    </rPh>
    <phoneticPr fontId="25"/>
  </si>
  <si>
    <t>石井 4 AM</t>
    <rPh sb="0" eb="2">
      <t>イシイ</t>
    </rPh>
    <phoneticPr fontId="25"/>
  </si>
  <si>
    <t>白沢 南 AM</t>
    <rPh sb="0" eb="2">
      <t>シラサワ</t>
    </rPh>
    <rPh sb="3" eb="4">
      <t>ミナミ</t>
    </rPh>
    <phoneticPr fontId="25"/>
  </si>
  <si>
    <t>5-8</t>
    <phoneticPr fontId="25"/>
  </si>
  <si>
    <t>7-8</t>
    <phoneticPr fontId="25"/>
  </si>
  <si>
    <t>7-9</t>
    <phoneticPr fontId="25"/>
  </si>
  <si>
    <t>6-9</t>
    <phoneticPr fontId="25"/>
  </si>
  <si>
    <t>5-6</t>
    <phoneticPr fontId="25"/>
  </si>
  <si>
    <t>-</t>
    <phoneticPr fontId="25"/>
  </si>
  <si>
    <t>7/2/6/7</t>
    <phoneticPr fontId="25"/>
  </si>
  <si>
    <t>2/6/7/2</t>
    <phoneticPr fontId="25"/>
  </si>
  <si>
    <t>6/7/2/6</t>
    <phoneticPr fontId="25"/>
  </si>
  <si>
    <t>8/3/4/8</t>
    <phoneticPr fontId="25"/>
  </si>
  <si>
    <t>3/4/8/3</t>
    <phoneticPr fontId="25"/>
  </si>
  <si>
    <t>4/8/3/4</t>
    <phoneticPr fontId="25"/>
  </si>
  <si>
    <t>C569</t>
    <phoneticPr fontId="25"/>
  </si>
  <si>
    <t>C5789</t>
    <phoneticPr fontId="25"/>
  </si>
  <si>
    <t>8/5/5/8</t>
    <phoneticPr fontId="25"/>
  </si>
  <si>
    <t>7/8/8/7</t>
    <phoneticPr fontId="25"/>
  </si>
  <si>
    <t>9/6/6/9</t>
    <phoneticPr fontId="25"/>
  </si>
  <si>
    <t>5/9/9/5</t>
    <phoneticPr fontId="25"/>
  </si>
  <si>
    <t>6/7/7/6</t>
    <phoneticPr fontId="25"/>
  </si>
  <si>
    <t>C159</t>
    <phoneticPr fontId="25"/>
  </si>
  <si>
    <t>C267</t>
    <phoneticPr fontId="25"/>
  </si>
  <si>
    <t>C348</t>
    <phoneticPr fontId="25"/>
  </si>
  <si>
    <t>C168</t>
    <phoneticPr fontId="25"/>
  </si>
  <si>
    <t>C249</t>
    <phoneticPr fontId="25"/>
  </si>
  <si>
    <t>C357</t>
    <phoneticPr fontId="25"/>
  </si>
  <si>
    <t>C147</t>
    <phoneticPr fontId="25"/>
  </si>
  <si>
    <t>C258</t>
    <phoneticPr fontId="25"/>
  </si>
  <si>
    <t>C456</t>
    <phoneticPr fontId="25"/>
  </si>
  <si>
    <t>【監督会議　１２：５０～】　【試合時間　２０分-５分-２０分】</t>
    <rPh sb="1" eb="3">
      <t>カントク</t>
    </rPh>
    <rPh sb="3" eb="5">
      <t>カイギ</t>
    </rPh>
    <phoneticPr fontId="25"/>
  </si>
  <si>
    <t>FCアネーロ・U-12</t>
    <phoneticPr fontId="25"/>
  </si>
  <si>
    <t>姿川　第一小</t>
    <rPh sb="0" eb="2">
      <t>スガタガワ</t>
    </rPh>
    <rPh sb="3" eb="5">
      <t>ダイイチ</t>
    </rPh>
    <rPh sb="5" eb="6">
      <t>ショウ</t>
    </rPh>
    <phoneticPr fontId="25"/>
  </si>
  <si>
    <t>スポルト宇都宮U12</t>
    <rPh sb="4" eb="7">
      <t>ウツノミヤ</t>
    </rPh>
    <phoneticPr fontId="25"/>
  </si>
  <si>
    <t>辻浦　勝
（上三川地区）
本郷北ＦＣ</t>
    <rPh sb="0" eb="2">
      <t>ツジウラ</t>
    </rPh>
    <rPh sb="3" eb="4">
      <t>マサル</t>
    </rPh>
    <rPh sb="6" eb="9">
      <t>カミノカワ</t>
    </rPh>
    <rPh sb="9" eb="11">
      <t>チク</t>
    </rPh>
    <phoneticPr fontId="28"/>
  </si>
  <si>
    <r>
      <t xml:space="preserve">渡部 広信
</t>
    </r>
    <r>
      <rPr>
        <sz val="9"/>
        <rFont val="AR丸ゴシック体M"/>
        <family val="3"/>
        <charset val="128"/>
      </rPr>
      <t>(宇)少年サッカー連盟
競技運営委員
西部地区副代表</t>
    </r>
    <rPh sb="25" eb="29">
      <t>セイブチク</t>
    </rPh>
    <rPh sb="29" eb="32">
      <t>フクダイヒョウ</t>
    </rPh>
    <phoneticPr fontId="25"/>
  </si>
  <si>
    <r>
      <t xml:space="preserve">長谷川　洋
</t>
    </r>
    <r>
      <rPr>
        <sz val="9"/>
        <rFont val="AR丸ゴシック体M"/>
        <family val="3"/>
        <charset val="128"/>
      </rPr>
      <t>(宇)少年サッカー連盟競技運営委員･地区リーグ戦運営委員長</t>
    </r>
    <r>
      <rPr>
        <sz val="12"/>
        <rFont val="AR丸ゴシック体M"/>
        <family val="3"/>
        <charset val="128"/>
      </rPr>
      <t xml:space="preserve">
</t>
    </r>
    <r>
      <rPr>
        <sz val="9"/>
        <rFont val="AR丸ゴシック体M"/>
        <family val="3"/>
        <charset val="128"/>
      </rPr>
      <t>中部地区代表</t>
    </r>
    <rPh sb="0" eb="3">
      <t>ハセガワ</t>
    </rPh>
    <rPh sb="4" eb="5">
      <t>ヨウ</t>
    </rPh>
    <rPh sb="24" eb="26">
      <t>チク</t>
    </rPh>
    <rPh sb="29" eb="30">
      <t>セン</t>
    </rPh>
    <rPh sb="30" eb="32">
      <t>ウンエイ</t>
    </rPh>
    <rPh sb="32" eb="35">
      <t>イインチョウ</t>
    </rPh>
    <rPh sb="36" eb="38">
      <t>チュウブ</t>
    </rPh>
    <rPh sb="38" eb="42">
      <t>チクダイヒョウ</t>
    </rPh>
    <phoneticPr fontId="28"/>
  </si>
  <si>
    <r>
      <t xml:space="preserve">今野　学
</t>
    </r>
    <r>
      <rPr>
        <sz val="9"/>
        <rFont val="AR丸ゴシック体M"/>
        <family val="3"/>
        <charset val="128"/>
      </rPr>
      <t>(宇)少年サッカー連盟
競技運営委員
東部地区副代表</t>
    </r>
    <rPh sb="0" eb="2">
      <t>コンノ</t>
    </rPh>
    <rPh sb="3" eb="4">
      <t>マナブ</t>
    </rPh>
    <rPh sb="24" eb="26">
      <t>トウブ</t>
    </rPh>
    <rPh sb="26" eb="28">
      <t>チク</t>
    </rPh>
    <rPh sb="28" eb="29">
      <t>フク</t>
    </rPh>
    <rPh sb="29" eb="31">
      <t>ダイヒョウ</t>
    </rPh>
    <phoneticPr fontId="28"/>
  </si>
  <si>
    <t>unionscU12</t>
    <phoneticPr fontId="25"/>
  </si>
  <si>
    <r>
      <t>警告　　</t>
    </r>
    <r>
      <rPr>
        <b/>
        <strike/>
        <sz val="12"/>
        <color indexed="8"/>
        <rFont val="Meiryo UI"/>
        <family val="3"/>
        <charset val="128"/>
      </rPr>
      <t>退場</t>
    </r>
  </si>
  <si>
    <t>1/3</t>
    <phoneticPr fontId="25"/>
  </si>
  <si>
    <t>2/3</t>
    <phoneticPr fontId="25"/>
  </si>
  <si>
    <t>3/3</t>
    <phoneticPr fontId="25"/>
  </si>
  <si>
    <t>2/3</t>
    <phoneticPr fontId="25"/>
  </si>
  <si>
    <t>3/3</t>
    <phoneticPr fontId="25"/>
  </si>
  <si>
    <t>1/3</t>
    <phoneticPr fontId="25"/>
  </si>
  <si>
    <t>2/3</t>
    <phoneticPr fontId="25"/>
  </si>
  <si>
    <t>1/3</t>
    <phoneticPr fontId="25"/>
  </si>
  <si>
    <t>2/3</t>
    <phoneticPr fontId="25"/>
  </si>
  <si>
    <t>1/3</t>
    <phoneticPr fontId="25"/>
  </si>
  <si>
    <t>2/3</t>
    <phoneticPr fontId="25"/>
  </si>
  <si>
    <t>2/3</t>
    <phoneticPr fontId="25"/>
  </si>
  <si>
    <t>3/3</t>
    <phoneticPr fontId="25"/>
  </si>
  <si>
    <r>
      <t>1</t>
    </r>
    <r>
      <rPr>
        <sz val="11"/>
        <color theme="1"/>
        <rFont val="游ゴシック"/>
        <family val="3"/>
        <charset val="128"/>
      </rPr>
      <t>a</t>
    </r>
    <phoneticPr fontId="25"/>
  </si>
  <si>
    <t>1b</t>
    <phoneticPr fontId="25"/>
  </si>
  <si>
    <t>1c</t>
    <phoneticPr fontId="25"/>
  </si>
  <si>
    <r>
      <t>2</t>
    </r>
    <r>
      <rPr>
        <sz val="11"/>
        <color theme="1"/>
        <rFont val="游ゴシック"/>
        <family val="3"/>
        <charset val="128"/>
      </rPr>
      <t>a</t>
    </r>
    <phoneticPr fontId="25"/>
  </si>
  <si>
    <t>2a</t>
    <phoneticPr fontId="25"/>
  </si>
  <si>
    <t>2b</t>
    <phoneticPr fontId="25"/>
  </si>
  <si>
    <t>2c</t>
    <phoneticPr fontId="25"/>
  </si>
  <si>
    <t>3a</t>
    <phoneticPr fontId="25"/>
  </si>
  <si>
    <r>
      <t>3</t>
    </r>
    <r>
      <rPr>
        <sz val="11"/>
        <color theme="1"/>
        <rFont val="游ゴシック"/>
        <family val="3"/>
        <charset val="128"/>
      </rPr>
      <t>a</t>
    </r>
    <phoneticPr fontId="25"/>
  </si>
  <si>
    <t>3b</t>
    <phoneticPr fontId="25"/>
  </si>
  <si>
    <t>3c</t>
    <phoneticPr fontId="25"/>
  </si>
  <si>
    <r>
      <t>4</t>
    </r>
    <r>
      <rPr>
        <sz val="11"/>
        <color theme="1"/>
        <rFont val="游ゴシック"/>
        <family val="3"/>
        <charset val="128"/>
      </rPr>
      <t>a</t>
    </r>
    <phoneticPr fontId="25"/>
  </si>
  <si>
    <t>4b</t>
    <phoneticPr fontId="25"/>
  </si>
  <si>
    <t>4c</t>
    <phoneticPr fontId="25"/>
  </si>
  <si>
    <t>5a</t>
    <phoneticPr fontId="25"/>
  </si>
  <si>
    <t>5b</t>
    <phoneticPr fontId="25"/>
  </si>
  <si>
    <t>5c</t>
    <phoneticPr fontId="25"/>
  </si>
  <si>
    <t>スコア</t>
    <phoneticPr fontId="25"/>
  </si>
  <si>
    <t>試合時間 20分 - 5分 - 20分</t>
    <rPh sb="0" eb="2">
      <t>シアイ</t>
    </rPh>
    <rPh sb="2" eb="4">
      <t>ジカン</t>
    </rPh>
    <rPh sb="7" eb="8">
      <t>フン</t>
    </rPh>
    <rPh sb="12" eb="13">
      <t>フン</t>
    </rPh>
    <rPh sb="18" eb="19">
      <t>フン</t>
    </rPh>
    <phoneticPr fontId="25"/>
  </si>
  <si>
    <t>1/3</t>
    <phoneticPr fontId="25"/>
  </si>
  <si>
    <t>2/3</t>
    <phoneticPr fontId="25"/>
  </si>
  <si>
    <t>3/3</t>
    <phoneticPr fontId="25"/>
  </si>
  <si>
    <t>1/1</t>
    <phoneticPr fontId="25"/>
  </si>
  <si>
    <t>勝ち</t>
  </si>
  <si>
    <t>負け</t>
  </si>
  <si>
    <t>分</t>
  </si>
  <si>
    <t>得失点</t>
  </si>
  <si>
    <t>-</t>
  </si>
  <si>
    <t>勝点</t>
    <phoneticPr fontId="28"/>
  </si>
  <si>
    <t>総得点</t>
    <rPh sb="0" eb="3">
      <t>ソウトクテン</t>
    </rPh>
    <phoneticPr fontId="28"/>
  </si>
  <si>
    <t>順位</t>
    <rPh sb="0" eb="2">
      <t>ジュンイ</t>
    </rPh>
    <phoneticPr fontId="28"/>
  </si>
  <si>
    <t>-</t>
    <phoneticPr fontId="28"/>
  </si>
  <si>
    <t>勝点</t>
    <phoneticPr fontId="28"/>
  </si>
  <si>
    <t>ＪＦＡ　U-12サッカーリーグ2021（in栃木） 宇河地域リーグ戦（前期）　Ａ ブロック星取表</t>
    <rPh sb="35" eb="37">
      <t>ゼンキ</t>
    </rPh>
    <phoneticPr fontId="28"/>
  </si>
  <si>
    <t>ＪＦＡ　U-12サッカーリーグ2021（in栃木） 宇河地域リーグ戦（前期）　Ｂ ブロック星取表</t>
    <phoneticPr fontId="28"/>
  </si>
  <si>
    <t>ＪＦＡ　U-12サッカーリーグ2021（in栃木） 宇河地域リーグ戦（前期）　Ｃ ブロック星取表</t>
    <phoneticPr fontId="28"/>
  </si>
  <si>
    <t>ＪＦＡ　U-12サッカーリーグ2021（in栃木） 宇河地域リーグ戦（前期）　D ブロック星取表</t>
    <phoneticPr fontId="28"/>
  </si>
  <si>
    <t>GP白沢北 PM</t>
    <rPh sb="2" eb="4">
      <t>シラサワ</t>
    </rPh>
    <rPh sb="4" eb="5">
      <t>キタ</t>
    </rPh>
    <phoneticPr fontId="25"/>
  </si>
  <si>
    <t>GP白沢南 PM</t>
    <rPh sb="2" eb="4">
      <t>シラサワ</t>
    </rPh>
    <rPh sb="4" eb="5">
      <t>ミナミ</t>
    </rPh>
    <phoneticPr fontId="25"/>
  </si>
  <si>
    <t>平出南 AM</t>
    <rPh sb="0" eb="2">
      <t>ヒライデ</t>
    </rPh>
    <rPh sb="2" eb="3">
      <t>ミナミ</t>
    </rPh>
    <phoneticPr fontId="25"/>
  </si>
  <si>
    <t>石井 3 AM</t>
    <rPh sb="0" eb="2">
      <t>イシイ</t>
    </rPh>
    <phoneticPr fontId="25"/>
  </si>
  <si>
    <t>雀宮南小 AM</t>
    <rPh sb="0" eb="2">
      <t>スズメノミヤ</t>
    </rPh>
    <rPh sb="2" eb="4">
      <t>ミナミショウ</t>
    </rPh>
    <phoneticPr fontId="25"/>
  </si>
  <si>
    <t>平出北 PM</t>
    <rPh sb="0" eb="2">
      <t>ヒライデ</t>
    </rPh>
    <rPh sb="2" eb="3">
      <t>キタ</t>
    </rPh>
    <phoneticPr fontId="25"/>
  </si>
  <si>
    <t>石井 5 AM</t>
    <rPh sb="0" eb="2">
      <t>イシイ</t>
    </rPh>
    <phoneticPr fontId="25"/>
  </si>
  <si>
    <t>平出南　PM</t>
    <rPh sb="0" eb="2">
      <t>ヒライデ</t>
    </rPh>
    <rPh sb="2" eb="3">
      <t>ミナミ</t>
    </rPh>
    <phoneticPr fontId="25"/>
  </si>
  <si>
    <t>陽東小 AM</t>
    <rPh sb="0" eb="1">
      <t>ヨウ</t>
    </rPh>
    <rPh sb="1" eb="2">
      <t>ヒガシ</t>
    </rPh>
    <rPh sb="2" eb="3">
      <t>ショウ</t>
    </rPh>
    <phoneticPr fontId="25"/>
  </si>
  <si>
    <t>石井 6 AM</t>
    <rPh sb="0" eb="2">
      <t>イシイ</t>
    </rPh>
    <phoneticPr fontId="25"/>
  </si>
  <si>
    <t>GP白沢 北 PM</t>
    <rPh sb="2" eb="4">
      <t>シラサワ</t>
    </rPh>
    <rPh sb="5" eb="6">
      <t>キタ</t>
    </rPh>
    <phoneticPr fontId="25"/>
  </si>
  <si>
    <t>GP白沢 南 PM</t>
    <rPh sb="2" eb="4">
      <t>シラサワ</t>
    </rPh>
    <rPh sb="5" eb="6">
      <t>ミナミ</t>
    </rPh>
    <phoneticPr fontId="25"/>
  </si>
  <si>
    <t>石井 4 AM</t>
    <rPh sb="0" eb="2">
      <t>イシイ</t>
    </rPh>
    <phoneticPr fontId="25"/>
  </si>
  <si>
    <t>上三川小 AM</t>
    <rPh sb="0" eb="4">
      <t>カミノカワショウ</t>
    </rPh>
    <phoneticPr fontId="25"/>
  </si>
  <si>
    <t>GP白沢北 AM</t>
    <rPh sb="2" eb="4">
      <t>シラサワ</t>
    </rPh>
    <rPh sb="4" eb="5">
      <t>キタ</t>
    </rPh>
    <phoneticPr fontId="25"/>
  </si>
  <si>
    <t>豊郷中央小 AM</t>
    <rPh sb="0" eb="2">
      <t>トヨサト</t>
    </rPh>
    <rPh sb="2" eb="5">
      <t>チュウオウショウ</t>
    </rPh>
    <phoneticPr fontId="25"/>
  </si>
  <si>
    <t>GP白沢 南 AM</t>
    <rPh sb="2" eb="4">
      <t>シラサワ</t>
    </rPh>
    <rPh sb="5" eb="6">
      <t>ミナミ</t>
    </rPh>
    <phoneticPr fontId="25"/>
  </si>
  <si>
    <t>石井 5 PM</t>
    <rPh sb="0" eb="2">
      <t>イシイ</t>
    </rPh>
    <phoneticPr fontId="25"/>
  </si>
  <si>
    <t>陽東小AM</t>
    <rPh sb="0" eb="1">
      <t>ヨウ</t>
    </rPh>
    <rPh sb="1" eb="2">
      <t>ヒガシ</t>
    </rPh>
    <rPh sb="2" eb="3">
      <t>ショウ</t>
    </rPh>
    <phoneticPr fontId="25"/>
  </si>
  <si>
    <t>本郷北小 AM</t>
    <rPh sb="0" eb="4">
      <t>ホンゴウキタショウ</t>
    </rPh>
    <phoneticPr fontId="25"/>
  </si>
  <si>
    <t>平出 北 AM</t>
    <rPh sb="0" eb="2">
      <t>ヒライデ</t>
    </rPh>
    <rPh sb="3" eb="4">
      <t>キタ</t>
    </rPh>
    <phoneticPr fontId="25"/>
  </si>
  <si>
    <t>陽南小　AM</t>
    <rPh sb="0" eb="3">
      <t>ヨウナンショウ</t>
    </rPh>
    <phoneticPr fontId="25"/>
  </si>
  <si>
    <t>錦小 AM</t>
    <rPh sb="0" eb="2">
      <t>ニシキショウ</t>
    </rPh>
    <phoneticPr fontId="25"/>
  </si>
  <si>
    <t>GP白沢 北 AM</t>
    <rPh sb="2" eb="4">
      <t>シラサワ</t>
    </rPh>
    <rPh sb="5" eb="6">
      <t>キタ</t>
    </rPh>
    <phoneticPr fontId="25"/>
  </si>
  <si>
    <t>GP白沢 南AM</t>
    <rPh sb="2" eb="4">
      <t>シラサワ</t>
    </rPh>
    <rPh sb="5" eb="6">
      <t>ミナミ</t>
    </rPh>
    <phoneticPr fontId="25"/>
  </si>
  <si>
    <t>平出北 AM</t>
    <rPh sb="0" eb="2">
      <t>ヒライデ</t>
    </rPh>
    <rPh sb="2" eb="3">
      <t>キタ</t>
    </rPh>
    <phoneticPr fontId="25"/>
  </si>
  <si>
    <t>前期A</t>
    <rPh sb="0" eb="2">
      <t>ゼンキ</t>
    </rPh>
    <phoneticPr fontId="28"/>
  </si>
  <si>
    <t>前期B</t>
    <rPh sb="0" eb="2">
      <t>ゼンキ</t>
    </rPh>
    <phoneticPr fontId="28"/>
  </si>
  <si>
    <t>B～D 総合順位</t>
    <rPh sb="4" eb="6">
      <t>ソウゴウ</t>
    </rPh>
    <rPh sb="6" eb="8">
      <t>ジュンイ</t>
    </rPh>
    <phoneticPr fontId="28"/>
  </si>
  <si>
    <t>ｸﾞﾛｯｸ内順位</t>
    <rPh sb="5" eb="6">
      <t>ナイ</t>
    </rPh>
    <rPh sb="6" eb="8">
      <t>ジュンイ</t>
    </rPh>
    <phoneticPr fontId="28"/>
  </si>
  <si>
    <t>第１節</t>
    <rPh sb="0" eb="1">
      <t>ダイ</t>
    </rPh>
    <rPh sb="2" eb="3">
      <t>セツ</t>
    </rPh>
    <phoneticPr fontId="25"/>
  </si>
  <si>
    <t>第２節</t>
    <rPh sb="0" eb="1">
      <t>ダイ</t>
    </rPh>
    <rPh sb="2" eb="3">
      <t>セツ</t>
    </rPh>
    <phoneticPr fontId="25"/>
  </si>
  <si>
    <t>第３節</t>
    <rPh sb="0" eb="1">
      <t>ダイ</t>
    </rPh>
    <rPh sb="2" eb="3">
      <t>セツ</t>
    </rPh>
    <phoneticPr fontId="25"/>
  </si>
  <si>
    <t>第４節</t>
    <rPh sb="0" eb="1">
      <t>ダイ</t>
    </rPh>
    <rPh sb="2" eb="3">
      <t>セツ</t>
    </rPh>
    <phoneticPr fontId="25"/>
  </si>
  <si>
    <t>第５節</t>
    <rPh sb="0" eb="1">
      <t>ダイ</t>
    </rPh>
    <rPh sb="2" eb="3">
      <t>セツ</t>
    </rPh>
    <phoneticPr fontId="25"/>
  </si>
  <si>
    <t>a</t>
    <phoneticPr fontId="25"/>
  </si>
  <si>
    <t>b</t>
    <phoneticPr fontId="25"/>
  </si>
  <si>
    <t>c</t>
    <phoneticPr fontId="25"/>
  </si>
  <si>
    <t>4a</t>
    <phoneticPr fontId="25"/>
  </si>
  <si>
    <t>1a</t>
    <phoneticPr fontId="25"/>
  </si>
  <si>
    <t>1b</t>
    <phoneticPr fontId="25"/>
  </si>
  <si>
    <t>1c</t>
    <phoneticPr fontId="25"/>
  </si>
  <si>
    <t>2a</t>
    <phoneticPr fontId="25"/>
  </si>
  <si>
    <t>2b</t>
    <phoneticPr fontId="25"/>
  </si>
  <si>
    <t>2c</t>
    <phoneticPr fontId="25"/>
  </si>
  <si>
    <t>3a</t>
    <phoneticPr fontId="25"/>
  </si>
  <si>
    <t>3b</t>
    <phoneticPr fontId="25"/>
  </si>
  <si>
    <t>3c</t>
    <phoneticPr fontId="25"/>
  </si>
  <si>
    <t>4a</t>
    <phoneticPr fontId="25"/>
  </si>
  <si>
    <t>4b</t>
    <phoneticPr fontId="25"/>
  </si>
  <si>
    <t>4c</t>
    <phoneticPr fontId="25"/>
  </si>
  <si>
    <t>5a</t>
    <phoneticPr fontId="25"/>
  </si>
  <si>
    <t>5b</t>
    <phoneticPr fontId="25"/>
  </si>
  <si>
    <t>5c</t>
    <phoneticPr fontId="25"/>
  </si>
  <si>
    <t>Aブロック（１０チーム）日程配分</t>
    <rPh sb="12" eb="16">
      <t>ニッテイハイブン</t>
    </rPh>
    <phoneticPr fontId="25"/>
  </si>
  <si>
    <t>各節の試合数</t>
    <rPh sb="0" eb="2">
      <t>カクセツ</t>
    </rPh>
    <rPh sb="3" eb="6">
      <t>シアイスウ</t>
    </rPh>
    <phoneticPr fontId="25"/>
  </si>
  <si>
    <t>計</t>
    <rPh sb="0" eb="1">
      <t>ケイ</t>
    </rPh>
    <phoneticPr fontId="25"/>
  </si>
  <si>
    <t>延べ試合数</t>
    <rPh sb="0" eb="1">
      <t>ノ</t>
    </rPh>
    <rPh sb="2" eb="5">
      <t>シアイスウ</t>
    </rPh>
    <phoneticPr fontId="25"/>
  </si>
  <si>
    <t>小計</t>
    <rPh sb="0" eb="2">
      <t>ショウケイ</t>
    </rPh>
    <phoneticPr fontId="25"/>
  </si>
  <si>
    <t>1-2</t>
    <phoneticPr fontId="25"/>
  </si>
  <si>
    <t>3-2</t>
    <phoneticPr fontId="25"/>
  </si>
  <si>
    <t>3-1</t>
    <phoneticPr fontId="25"/>
  </si>
  <si>
    <t>4-5</t>
    <phoneticPr fontId="25"/>
  </si>
  <si>
    <t>6-5</t>
    <phoneticPr fontId="25"/>
  </si>
  <si>
    <t>6-4</t>
    <phoneticPr fontId="25"/>
  </si>
  <si>
    <t>789</t>
    <phoneticPr fontId="25"/>
  </si>
  <si>
    <t>7-8</t>
    <phoneticPr fontId="25"/>
  </si>
  <si>
    <t>9-8</t>
    <phoneticPr fontId="25"/>
  </si>
  <si>
    <t>9-7</t>
    <phoneticPr fontId="25"/>
  </si>
  <si>
    <t>147</t>
    <phoneticPr fontId="25"/>
  </si>
  <si>
    <t>1-4</t>
    <phoneticPr fontId="25"/>
  </si>
  <si>
    <t>7-4</t>
    <phoneticPr fontId="25"/>
  </si>
  <si>
    <t>7-1</t>
    <phoneticPr fontId="25"/>
  </si>
  <si>
    <t>2-5</t>
    <phoneticPr fontId="25"/>
  </si>
  <si>
    <t>8-5</t>
    <phoneticPr fontId="25"/>
  </si>
  <si>
    <t>8-2</t>
    <phoneticPr fontId="25"/>
  </si>
  <si>
    <t>3-6</t>
    <phoneticPr fontId="25"/>
  </si>
  <si>
    <t>9-6</t>
    <phoneticPr fontId="25"/>
  </si>
  <si>
    <t>9-3</t>
    <phoneticPr fontId="25"/>
  </si>
  <si>
    <t>1-5</t>
    <phoneticPr fontId="25"/>
  </si>
  <si>
    <t>9-5</t>
    <phoneticPr fontId="25"/>
  </si>
  <si>
    <t>9-1</t>
    <phoneticPr fontId="25"/>
  </si>
  <si>
    <t>267</t>
    <phoneticPr fontId="25"/>
  </si>
  <si>
    <t>2-6</t>
    <phoneticPr fontId="25"/>
  </si>
  <si>
    <t>7-6</t>
    <phoneticPr fontId="25"/>
  </si>
  <si>
    <t>7-2</t>
    <phoneticPr fontId="25"/>
  </si>
  <si>
    <t>3-4</t>
    <phoneticPr fontId="25"/>
  </si>
  <si>
    <t>8-4</t>
    <phoneticPr fontId="25"/>
  </si>
  <si>
    <t>8-3</t>
    <phoneticPr fontId="25"/>
  </si>
  <si>
    <t>1-6</t>
    <phoneticPr fontId="25"/>
  </si>
  <si>
    <t>8-6</t>
    <phoneticPr fontId="25"/>
  </si>
  <si>
    <t>8-1</t>
    <phoneticPr fontId="25"/>
  </si>
  <si>
    <t>2-4</t>
    <phoneticPr fontId="25"/>
  </si>
  <si>
    <t>9-4</t>
    <phoneticPr fontId="25"/>
  </si>
  <si>
    <t>9-2</t>
    <phoneticPr fontId="25"/>
  </si>
  <si>
    <t>3-5</t>
    <phoneticPr fontId="25"/>
  </si>
  <si>
    <t>7-5</t>
    <phoneticPr fontId="25"/>
  </si>
  <si>
    <t>7-3</t>
    <phoneticPr fontId="25"/>
  </si>
  <si>
    <t>357</t>
    <phoneticPr fontId="25"/>
  </si>
  <si>
    <t>入れ替わり無し　開始時間</t>
    <rPh sb="0" eb="1">
      <t>イ</t>
    </rPh>
    <rPh sb="2" eb="3">
      <t>カ</t>
    </rPh>
    <rPh sb="5" eb="6">
      <t>ナ</t>
    </rPh>
    <rPh sb="8" eb="12">
      <t>カイシジカン</t>
    </rPh>
    <phoneticPr fontId="25"/>
  </si>
  <si>
    <t>①</t>
    <phoneticPr fontId="25"/>
  </si>
  <si>
    <t>②</t>
    <phoneticPr fontId="25"/>
  </si>
  <si>
    <t>③</t>
    <phoneticPr fontId="25"/>
  </si>
  <si>
    <t>④</t>
    <phoneticPr fontId="25"/>
  </si>
  <si>
    <t>⑤</t>
    <phoneticPr fontId="25"/>
  </si>
  <si>
    <t>⑥</t>
    <phoneticPr fontId="25"/>
  </si>
  <si>
    <t>⑦</t>
    <phoneticPr fontId="25"/>
  </si>
  <si>
    <t>⑧</t>
    <phoneticPr fontId="25"/>
  </si>
  <si>
    <t>会　場</t>
    <phoneticPr fontId="25"/>
  </si>
  <si>
    <t>PM開始時間</t>
    <rPh sb="2" eb="6">
      <t>カイシジカン</t>
    </rPh>
    <phoneticPr fontId="25"/>
  </si>
  <si>
    <t>石井G入れ替え　AM開始時間</t>
    <rPh sb="0" eb="2">
      <t>イシイ</t>
    </rPh>
    <rPh sb="3" eb="4">
      <t>イ</t>
    </rPh>
    <rPh sb="5" eb="6">
      <t>カ</t>
    </rPh>
    <rPh sb="10" eb="14">
      <t>カイシジカン</t>
    </rPh>
    <phoneticPr fontId="25"/>
  </si>
  <si>
    <t>9チーム</t>
    <phoneticPr fontId="25"/>
  </si>
  <si>
    <t>9/7/7/9</t>
    <phoneticPr fontId="25"/>
  </si>
  <si>
    <t>C3689</t>
    <phoneticPr fontId="25"/>
  </si>
  <si>
    <t>C2</t>
  </si>
  <si>
    <t>C2</t>
    <phoneticPr fontId="25"/>
  </si>
  <si>
    <t>GP白沢 南/北AM</t>
    <rPh sb="2" eb="4">
      <t>シラサワ</t>
    </rPh>
    <rPh sb="5" eb="6">
      <t>ミナミ</t>
    </rPh>
    <rPh sb="7" eb="8">
      <t>キタ</t>
    </rPh>
    <phoneticPr fontId="25"/>
  </si>
  <si>
    <t>GP白沢 北 AM</t>
    <phoneticPr fontId="25"/>
  </si>
  <si>
    <t>C4</t>
  </si>
  <si>
    <t>C4</t>
    <phoneticPr fontId="25"/>
  </si>
  <si>
    <t>C5</t>
  </si>
  <si>
    <t>C5</t>
    <phoneticPr fontId="25"/>
  </si>
  <si>
    <t>C6</t>
  </si>
  <si>
    <t>C6</t>
    <phoneticPr fontId="25"/>
  </si>
  <si>
    <t>富士見ＳＳＳ</t>
  </si>
  <si>
    <t>石井ＦＣ</t>
  </si>
  <si>
    <t>unionscU12</t>
  </si>
  <si>
    <t>ＳＵＧＡＯ・ＳＣ</t>
  </si>
  <si>
    <t>ブラッドレスＳＣ</t>
  </si>
  <si>
    <t>Ｓ４スペランツァ</t>
  </si>
  <si>
    <t>上河内ＪＳＣ</t>
  </si>
  <si>
    <t>国本ＪＳＣ</t>
  </si>
  <si>
    <t>本郷北ＦＣ</t>
  </si>
  <si>
    <t>FCアネーロ・U-12</t>
  </si>
  <si>
    <t>A1</t>
  </si>
  <si>
    <t>A1</t>
    <phoneticPr fontId="25"/>
  </si>
  <si>
    <t>A2</t>
  </si>
  <si>
    <t>A2</t>
    <phoneticPr fontId="25"/>
  </si>
  <si>
    <t>A3</t>
  </si>
  <si>
    <t>A3</t>
    <phoneticPr fontId="25"/>
  </si>
  <si>
    <t>A4</t>
  </si>
  <si>
    <t>A4</t>
    <phoneticPr fontId="25"/>
  </si>
  <si>
    <t>A5</t>
  </si>
  <si>
    <t>A5</t>
    <phoneticPr fontId="25"/>
  </si>
  <si>
    <t>A6</t>
  </si>
  <si>
    <t>A6</t>
    <phoneticPr fontId="25"/>
  </si>
  <si>
    <t>A7</t>
  </si>
  <si>
    <t>A7</t>
    <phoneticPr fontId="25"/>
  </si>
  <si>
    <t>A8</t>
  </si>
  <si>
    <t>A8</t>
    <phoneticPr fontId="25"/>
  </si>
  <si>
    <t>A9</t>
  </si>
  <si>
    <t>A9</t>
    <phoneticPr fontId="25"/>
  </si>
  <si>
    <t>A10</t>
  </si>
  <si>
    <t>A10</t>
    <phoneticPr fontId="25"/>
  </si>
  <si>
    <t>ともぞうSC　U11</t>
  </si>
  <si>
    <t>シャルムグランツSC</t>
  </si>
  <si>
    <t>.</t>
    <phoneticPr fontId="25"/>
  </si>
  <si>
    <t>B1</t>
    <phoneticPr fontId="25"/>
  </si>
  <si>
    <t>B6</t>
    <phoneticPr fontId="25"/>
  </si>
  <si>
    <t>B8</t>
  </si>
  <si>
    <t>B8</t>
    <phoneticPr fontId="25"/>
  </si>
  <si>
    <t>C1</t>
    <phoneticPr fontId="25"/>
  </si>
  <si>
    <t>C8</t>
  </si>
  <si>
    <t>C8</t>
    <phoneticPr fontId="25"/>
  </si>
  <si>
    <t>D2</t>
  </si>
  <si>
    <t>D2</t>
    <phoneticPr fontId="25"/>
  </si>
  <si>
    <t>D4</t>
  </si>
  <si>
    <t>D4</t>
    <phoneticPr fontId="25"/>
  </si>
  <si>
    <t>D9</t>
    <phoneticPr fontId="25"/>
  </si>
  <si>
    <t>D1</t>
    <phoneticPr fontId="25"/>
  </si>
  <si>
    <t>D5</t>
    <phoneticPr fontId="25"/>
  </si>
  <si>
    <t>B3</t>
  </si>
  <si>
    <t>B3</t>
    <phoneticPr fontId="25"/>
  </si>
  <si>
    <t>B4</t>
  </si>
  <si>
    <t>B4</t>
    <phoneticPr fontId="25"/>
  </si>
  <si>
    <t>FCアリーバ</t>
  </si>
  <si>
    <t>豊郷JFC宇都宮U-12</t>
  </si>
  <si>
    <t>カテット白沢SS</t>
  </si>
  <si>
    <t>リフレSCチェルビアット</t>
  </si>
  <si>
    <t>雀宮FC</t>
  </si>
  <si>
    <t>FCみらいP</t>
  </si>
  <si>
    <t>みはらSC jr</t>
  </si>
  <si>
    <t>C3</t>
  </si>
  <si>
    <t>C3</t>
    <phoneticPr fontId="25"/>
  </si>
  <si>
    <t>C7</t>
  </si>
  <si>
    <t>C9</t>
  </si>
  <si>
    <t>C9</t>
    <phoneticPr fontId="25"/>
  </si>
  <si>
    <t>FCブロケード</t>
  </si>
  <si>
    <t>ウエストフットコムU11</t>
  </si>
  <si>
    <t>ジュベニール</t>
  </si>
  <si>
    <t>FCみらいV</t>
  </si>
  <si>
    <t>SUGAOプロミネンス</t>
  </si>
  <si>
    <t>宇大付属小SSS U11</t>
  </si>
  <si>
    <t>宝木キッカーズ</t>
  </si>
  <si>
    <t>清原フューチャーズ</t>
  </si>
  <si>
    <t>陽東SSS</t>
  </si>
  <si>
    <t>D3</t>
  </si>
  <si>
    <t>D6</t>
  </si>
  <si>
    <t>D7</t>
  </si>
  <si>
    <t>D8</t>
  </si>
  <si>
    <t>C7</t>
    <phoneticPr fontId="25"/>
  </si>
  <si>
    <t>D3</t>
    <phoneticPr fontId="25"/>
  </si>
  <si>
    <t>スポルト宇都宮U12</t>
  </si>
  <si>
    <t>FCグラシアス</t>
  </si>
  <si>
    <t>ウエストフットコム</t>
  </si>
  <si>
    <t>上三川SC</t>
  </si>
  <si>
    <t>緑ヶ丘ＹＦＣ</t>
  </si>
  <si>
    <t>宇都宮FCジュニア</t>
  </si>
  <si>
    <t>昭和・戸祭SC</t>
  </si>
  <si>
    <t>サウス宇都宮SC</t>
  </si>
  <si>
    <t>岡西FC</t>
  </si>
  <si>
    <t>B2</t>
  </si>
  <si>
    <t>B5</t>
  </si>
  <si>
    <t>B7</t>
  </si>
  <si>
    <t>B9</t>
  </si>
  <si>
    <t>D7</t>
    <phoneticPr fontId="25"/>
  </si>
  <si>
    <t>A25710 C46</t>
    <phoneticPr fontId="25"/>
  </si>
  <si>
    <t>A2358　C45</t>
    <phoneticPr fontId="25"/>
  </si>
  <si>
    <r>
      <t>A9/</t>
    </r>
    <r>
      <rPr>
        <sz val="11"/>
        <color rgb="FFFF0000"/>
        <rFont val="ＭＳ Ｐゴシック"/>
        <family val="3"/>
        <charset val="128"/>
      </rPr>
      <t>A1/A6</t>
    </r>
    <r>
      <rPr>
        <sz val="11"/>
        <color theme="1"/>
        <rFont val="ＭＳ Ｐゴシック"/>
        <family val="3"/>
        <charset val="128"/>
      </rPr>
      <t>/A9</t>
    </r>
    <phoneticPr fontId="25"/>
  </si>
  <si>
    <r>
      <t>C8/</t>
    </r>
    <r>
      <rPr>
        <sz val="11"/>
        <color rgb="FFFF0000"/>
        <rFont val="ＭＳ Ｐゴシック"/>
        <family val="3"/>
        <charset val="128"/>
      </rPr>
      <t>A4/B4</t>
    </r>
    <r>
      <rPr>
        <sz val="11"/>
        <rFont val="ＭＳ Ｐゴシック"/>
        <family val="3"/>
        <charset val="128"/>
      </rPr>
      <t>/C8</t>
    </r>
    <phoneticPr fontId="25"/>
  </si>
  <si>
    <r>
      <t>C1/</t>
    </r>
    <r>
      <rPr>
        <sz val="11"/>
        <color rgb="FFFF0000"/>
        <rFont val="ＭＳ Ｐゴシック"/>
        <family val="3"/>
        <charset val="128"/>
      </rPr>
      <t>A7/B8</t>
    </r>
    <r>
      <rPr>
        <sz val="11"/>
        <rFont val="ＭＳ Ｐゴシック"/>
        <family val="3"/>
        <charset val="128"/>
      </rPr>
      <t>/C1</t>
    </r>
    <phoneticPr fontId="25"/>
  </si>
  <si>
    <r>
      <t>C6/</t>
    </r>
    <r>
      <rPr>
        <sz val="11"/>
        <color rgb="FFFF0000"/>
        <rFont val="ＭＳ Ｐゴシック"/>
        <family val="3"/>
        <charset val="128"/>
      </rPr>
      <t>A8/B3</t>
    </r>
    <r>
      <rPr>
        <sz val="11"/>
        <rFont val="ＭＳ Ｐゴシック"/>
        <family val="3"/>
        <charset val="128"/>
      </rPr>
      <t>/C6</t>
    </r>
    <phoneticPr fontId="25"/>
  </si>
  <si>
    <r>
      <t>D9/</t>
    </r>
    <r>
      <rPr>
        <sz val="11"/>
        <color rgb="FFFF0000"/>
        <rFont val="ＭＳ Ｐゴシック"/>
        <family val="3"/>
        <charset val="128"/>
      </rPr>
      <t>C2/C4</t>
    </r>
    <r>
      <rPr>
        <sz val="11"/>
        <rFont val="ＭＳ Ｐゴシック"/>
        <family val="3"/>
        <charset val="128"/>
      </rPr>
      <t>/D9</t>
    </r>
    <phoneticPr fontId="25"/>
  </si>
  <si>
    <r>
      <t>D1/</t>
    </r>
    <r>
      <rPr>
        <sz val="11"/>
        <color rgb="FFFF0000"/>
        <rFont val="ＭＳ Ｐゴシック"/>
        <family val="3"/>
        <charset val="128"/>
      </rPr>
      <t>C4/C9</t>
    </r>
    <r>
      <rPr>
        <sz val="11"/>
        <rFont val="ＭＳ Ｐゴシック"/>
        <family val="3"/>
        <charset val="128"/>
      </rPr>
      <t>/D1</t>
    </r>
    <phoneticPr fontId="25"/>
  </si>
  <si>
    <r>
      <t>D5/</t>
    </r>
    <r>
      <rPr>
        <sz val="11"/>
        <color rgb="FFFF0000"/>
        <rFont val="ＭＳ Ｐゴシック"/>
        <family val="3"/>
        <charset val="128"/>
      </rPr>
      <t>C9/C2</t>
    </r>
    <r>
      <rPr>
        <sz val="11"/>
        <rFont val="ＭＳ Ｐゴシック"/>
        <family val="3"/>
        <charset val="128"/>
      </rPr>
      <t>/D5</t>
    </r>
    <phoneticPr fontId="25"/>
  </si>
  <si>
    <r>
      <t>C9/</t>
    </r>
    <r>
      <rPr>
        <sz val="11"/>
        <color rgb="FFFF0000"/>
        <rFont val="ＭＳ Ｐゴシック"/>
        <family val="3"/>
        <charset val="128"/>
      </rPr>
      <t>D1/D5</t>
    </r>
    <r>
      <rPr>
        <sz val="11"/>
        <color indexed="8"/>
        <rFont val="ＭＳ Ｐゴシック"/>
        <family val="3"/>
        <charset val="128"/>
      </rPr>
      <t>/C9</t>
    </r>
    <phoneticPr fontId="25"/>
  </si>
  <si>
    <r>
      <t>C2/</t>
    </r>
    <r>
      <rPr>
        <sz val="11"/>
        <color rgb="FFFF0000"/>
        <rFont val="ＭＳ Ｐゴシック"/>
        <family val="3"/>
        <charset val="128"/>
      </rPr>
      <t>D5/D9</t>
    </r>
    <r>
      <rPr>
        <sz val="11"/>
        <rFont val="ＭＳ Ｐゴシック"/>
        <family val="3"/>
        <charset val="128"/>
      </rPr>
      <t>/C2</t>
    </r>
    <phoneticPr fontId="25"/>
  </si>
  <si>
    <r>
      <t>C4/</t>
    </r>
    <r>
      <rPr>
        <sz val="11"/>
        <color rgb="FFFF0000"/>
        <rFont val="ＭＳ Ｐゴシック"/>
        <family val="3"/>
        <charset val="128"/>
      </rPr>
      <t>D9/D1</t>
    </r>
    <r>
      <rPr>
        <sz val="11"/>
        <color indexed="8"/>
        <rFont val="ＭＳ Ｐゴシック"/>
        <family val="3"/>
        <charset val="128"/>
      </rPr>
      <t>/C4</t>
    </r>
    <phoneticPr fontId="25"/>
  </si>
  <si>
    <r>
      <t>A8/</t>
    </r>
    <r>
      <rPr>
        <sz val="11"/>
        <color rgb="FFFF0000"/>
        <rFont val="ＭＳ Ｐゴシック"/>
        <family val="3"/>
        <charset val="128"/>
      </rPr>
      <t>B3/C6</t>
    </r>
    <r>
      <rPr>
        <sz val="11"/>
        <rFont val="ＭＳ Ｐゴシック"/>
        <family val="3"/>
        <charset val="128"/>
      </rPr>
      <t>/A8</t>
    </r>
    <phoneticPr fontId="25"/>
  </si>
  <si>
    <r>
      <t>A4/</t>
    </r>
    <r>
      <rPr>
        <sz val="11"/>
        <color rgb="FFFF0000"/>
        <rFont val="ＭＳ Ｐゴシック"/>
        <family val="3"/>
        <charset val="128"/>
      </rPr>
      <t>B4/C8</t>
    </r>
    <r>
      <rPr>
        <sz val="11"/>
        <rFont val="ＭＳ Ｐゴシック"/>
        <family val="3"/>
        <charset val="128"/>
      </rPr>
      <t>/A4</t>
    </r>
    <phoneticPr fontId="25"/>
  </si>
  <si>
    <r>
      <t>A7/</t>
    </r>
    <r>
      <rPr>
        <sz val="11"/>
        <color rgb="FFFF0000"/>
        <rFont val="ＭＳ Ｐゴシック"/>
        <family val="3"/>
        <charset val="128"/>
      </rPr>
      <t>B8/C1</t>
    </r>
    <r>
      <rPr>
        <sz val="11"/>
        <rFont val="ＭＳ Ｐゴシック"/>
        <family val="3"/>
        <charset val="128"/>
      </rPr>
      <t>/A7</t>
    </r>
    <phoneticPr fontId="25"/>
  </si>
  <si>
    <r>
      <t>B8/</t>
    </r>
    <r>
      <rPr>
        <sz val="11"/>
        <color rgb="FFFF0000"/>
        <rFont val="ＭＳ Ｐゴシック"/>
        <family val="3"/>
        <charset val="128"/>
      </rPr>
      <t>C1/A7</t>
    </r>
    <r>
      <rPr>
        <sz val="11"/>
        <rFont val="ＭＳ Ｐゴシック"/>
        <family val="3"/>
        <charset val="128"/>
      </rPr>
      <t>/B8</t>
    </r>
    <phoneticPr fontId="25"/>
  </si>
  <si>
    <r>
      <t>B3/</t>
    </r>
    <r>
      <rPr>
        <sz val="11"/>
        <color rgb="FFFF0000"/>
        <rFont val="ＭＳ Ｐゴシック"/>
        <family val="3"/>
        <charset val="128"/>
      </rPr>
      <t>C6/A8</t>
    </r>
    <r>
      <rPr>
        <sz val="11"/>
        <rFont val="ＭＳ Ｐゴシック"/>
        <family val="3"/>
        <charset val="128"/>
      </rPr>
      <t>/B3</t>
    </r>
    <phoneticPr fontId="25"/>
  </si>
  <si>
    <r>
      <t>B4/</t>
    </r>
    <r>
      <rPr>
        <sz val="11"/>
        <color rgb="FFFF0000"/>
        <rFont val="ＭＳ Ｐゴシック"/>
        <family val="3"/>
        <charset val="128"/>
      </rPr>
      <t>C8/A4</t>
    </r>
    <r>
      <rPr>
        <sz val="11"/>
        <rFont val="ＭＳ Ｐゴシック"/>
        <family val="3"/>
        <charset val="128"/>
      </rPr>
      <t>/B4</t>
    </r>
    <phoneticPr fontId="25"/>
  </si>
  <si>
    <r>
      <t>B8/</t>
    </r>
    <r>
      <rPr>
        <sz val="11"/>
        <color rgb="FFFF0000"/>
        <rFont val="ＭＳ Ｐゴシック"/>
        <family val="3"/>
        <charset val="128"/>
      </rPr>
      <t>A2/A10</t>
    </r>
    <r>
      <rPr>
        <sz val="11"/>
        <rFont val="ＭＳ Ｐゴシック"/>
        <family val="3"/>
        <charset val="128"/>
      </rPr>
      <t>/B8</t>
    </r>
    <phoneticPr fontId="25"/>
  </si>
  <si>
    <r>
      <t>B1/</t>
    </r>
    <r>
      <rPr>
        <sz val="11"/>
        <color rgb="FFFF0000"/>
        <rFont val="ＭＳ Ｐゴシック"/>
        <family val="3"/>
        <charset val="128"/>
      </rPr>
      <t>A10/A4</t>
    </r>
    <r>
      <rPr>
        <sz val="11"/>
        <rFont val="ＭＳ Ｐゴシック"/>
        <family val="3"/>
        <charset val="128"/>
      </rPr>
      <t>/B1</t>
    </r>
    <phoneticPr fontId="25"/>
  </si>
  <si>
    <r>
      <t>B6/</t>
    </r>
    <r>
      <rPr>
        <sz val="11"/>
        <color rgb="FFFF0000"/>
        <rFont val="ＭＳ Ｐゴシック"/>
        <family val="3"/>
        <charset val="128"/>
      </rPr>
      <t>A4/A10</t>
    </r>
    <r>
      <rPr>
        <sz val="11"/>
        <rFont val="ＭＳ Ｐゴシック"/>
        <family val="3"/>
        <charset val="128"/>
      </rPr>
      <t>/B6</t>
    </r>
    <phoneticPr fontId="25"/>
  </si>
  <si>
    <r>
      <t>C7/</t>
    </r>
    <r>
      <rPr>
        <sz val="11"/>
        <color rgb="FFFF0000"/>
        <rFont val="ＭＳ Ｐゴシック"/>
        <family val="3"/>
        <charset val="128"/>
      </rPr>
      <t>D2/D4</t>
    </r>
    <r>
      <rPr>
        <sz val="11"/>
        <color indexed="8"/>
        <rFont val="ＭＳ Ｐゴシック"/>
        <family val="3"/>
        <charset val="128"/>
      </rPr>
      <t>/C7</t>
    </r>
    <phoneticPr fontId="25"/>
  </si>
  <si>
    <r>
      <t>C1/</t>
    </r>
    <r>
      <rPr>
        <sz val="11"/>
        <color rgb="FFFF0000"/>
        <rFont val="ＭＳ Ｐゴシック"/>
        <family val="3"/>
        <charset val="128"/>
      </rPr>
      <t>D4/D9</t>
    </r>
    <r>
      <rPr>
        <sz val="11"/>
        <rFont val="ＭＳ Ｐゴシック"/>
        <family val="3"/>
        <charset val="128"/>
      </rPr>
      <t>/C1</t>
    </r>
    <phoneticPr fontId="25"/>
  </si>
  <si>
    <r>
      <t>C4/</t>
    </r>
    <r>
      <rPr>
        <sz val="11"/>
        <color rgb="FFFF0000"/>
        <rFont val="ＭＳ Ｐゴシック"/>
        <family val="3"/>
        <charset val="128"/>
      </rPr>
      <t>D9/D2</t>
    </r>
    <r>
      <rPr>
        <sz val="11"/>
        <color indexed="8"/>
        <rFont val="ＭＳ Ｐゴシック"/>
        <family val="3"/>
        <charset val="128"/>
      </rPr>
      <t>/C4</t>
    </r>
    <phoneticPr fontId="25"/>
  </si>
  <si>
    <r>
      <t>A8/</t>
    </r>
    <r>
      <rPr>
        <sz val="11"/>
        <color rgb="FFFF0000"/>
        <rFont val="ＭＳ Ｐゴシック"/>
        <family val="3"/>
        <charset val="128"/>
      </rPr>
      <t>D3/D5</t>
    </r>
    <r>
      <rPr>
        <sz val="11"/>
        <rFont val="ＭＳ Ｐゴシック"/>
        <family val="3"/>
        <charset val="128"/>
      </rPr>
      <t>/A8</t>
    </r>
    <phoneticPr fontId="25"/>
  </si>
  <si>
    <r>
      <t>A6/</t>
    </r>
    <r>
      <rPr>
        <sz val="11"/>
        <color rgb="FFFF0000"/>
        <rFont val="ＭＳ Ｐゴシック"/>
        <family val="3"/>
        <charset val="128"/>
      </rPr>
      <t>D5/D7</t>
    </r>
    <r>
      <rPr>
        <sz val="11"/>
        <rFont val="ＭＳ Ｐゴシック"/>
        <family val="3"/>
        <charset val="128"/>
      </rPr>
      <t>/A6</t>
    </r>
    <phoneticPr fontId="25"/>
  </si>
  <si>
    <r>
      <t>A3/</t>
    </r>
    <r>
      <rPr>
        <sz val="11"/>
        <color rgb="FFFF0000"/>
        <rFont val="ＭＳ Ｐゴシック"/>
        <family val="3"/>
        <charset val="128"/>
      </rPr>
      <t>D7/D3</t>
    </r>
    <r>
      <rPr>
        <sz val="11"/>
        <rFont val="ＭＳ Ｐゴシック"/>
        <family val="3"/>
        <charset val="128"/>
      </rPr>
      <t>/A3</t>
    </r>
    <phoneticPr fontId="25"/>
  </si>
  <si>
    <r>
      <t>C8/</t>
    </r>
    <r>
      <rPr>
        <sz val="11"/>
        <color rgb="FFFF0000"/>
        <rFont val="ＭＳ Ｐゴシック"/>
        <family val="3"/>
        <charset val="128"/>
      </rPr>
      <t>C3/C6</t>
    </r>
    <r>
      <rPr>
        <sz val="11"/>
        <color indexed="8"/>
        <rFont val="ＭＳ Ｐゴシック"/>
        <family val="3"/>
        <charset val="128"/>
      </rPr>
      <t>/C8</t>
    </r>
    <phoneticPr fontId="25"/>
  </si>
  <si>
    <r>
      <t>C5/</t>
    </r>
    <r>
      <rPr>
        <sz val="11"/>
        <color rgb="FFFF0000"/>
        <rFont val="ＭＳ Ｐゴシック"/>
        <family val="3"/>
        <charset val="128"/>
      </rPr>
      <t>C9/C3</t>
    </r>
    <r>
      <rPr>
        <sz val="11"/>
        <rFont val="ＭＳ Ｐゴシック"/>
        <family val="3"/>
        <charset val="128"/>
      </rPr>
      <t>/C5</t>
    </r>
    <phoneticPr fontId="25"/>
  </si>
  <si>
    <r>
      <t>D9/</t>
    </r>
    <r>
      <rPr>
        <sz val="11"/>
        <color rgb="FFFF0000"/>
        <rFont val="ＭＳ Ｐゴシック"/>
        <family val="3"/>
        <charset val="128"/>
      </rPr>
      <t>C1/C4</t>
    </r>
    <r>
      <rPr>
        <sz val="11"/>
        <rFont val="ＭＳ Ｐゴシック"/>
        <family val="3"/>
        <charset val="128"/>
      </rPr>
      <t>/D9</t>
    </r>
    <phoneticPr fontId="25"/>
  </si>
  <si>
    <r>
      <t>D2/</t>
    </r>
    <r>
      <rPr>
        <sz val="11"/>
        <color rgb="FFFF0000"/>
        <rFont val="ＭＳ Ｐゴシック"/>
        <family val="3"/>
        <charset val="128"/>
      </rPr>
      <t>C4/C7</t>
    </r>
    <r>
      <rPr>
        <sz val="11"/>
        <rFont val="ＭＳ Ｐゴシック"/>
        <family val="3"/>
        <charset val="128"/>
      </rPr>
      <t>/D2</t>
    </r>
    <phoneticPr fontId="25"/>
  </si>
  <si>
    <r>
      <t>D4/</t>
    </r>
    <r>
      <rPr>
        <sz val="11"/>
        <color rgb="FFFF0000"/>
        <rFont val="ＭＳ Ｐゴシック"/>
        <family val="3"/>
        <charset val="128"/>
      </rPr>
      <t>C7/C1</t>
    </r>
    <r>
      <rPr>
        <sz val="11"/>
        <rFont val="ＭＳ Ｐゴシック"/>
        <family val="3"/>
        <charset val="128"/>
      </rPr>
      <t>/D4</t>
    </r>
    <phoneticPr fontId="25"/>
  </si>
  <si>
    <r>
      <t>A4/</t>
    </r>
    <r>
      <rPr>
        <sz val="11"/>
        <color rgb="FFFF0000"/>
        <rFont val="ＭＳ Ｐゴシック"/>
        <family val="3"/>
        <charset val="128"/>
      </rPr>
      <t>B1/B6</t>
    </r>
    <r>
      <rPr>
        <sz val="11"/>
        <rFont val="ＭＳ Ｐゴシック"/>
        <family val="3"/>
        <charset val="128"/>
      </rPr>
      <t>/A4</t>
    </r>
    <phoneticPr fontId="25"/>
  </si>
  <si>
    <r>
      <t>A2/</t>
    </r>
    <r>
      <rPr>
        <sz val="11"/>
        <color rgb="FFFF0000"/>
        <rFont val="ＭＳ Ｐゴシック"/>
        <family val="3"/>
        <charset val="128"/>
      </rPr>
      <t>B6/B8</t>
    </r>
    <r>
      <rPr>
        <sz val="11"/>
        <rFont val="ＭＳ Ｐゴシック"/>
        <family val="3"/>
        <charset val="128"/>
      </rPr>
      <t>/A2</t>
    </r>
    <phoneticPr fontId="25"/>
  </si>
  <si>
    <r>
      <t>C9/</t>
    </r>
    <r>
      <rPr>
        <sz val="11"/>
        <color rgb="FFFF0000"/>
        <rFont val="ＭＳ Ｐゴシック"/>
        <family val="3"/>
        <charset val="128"/>
      </rPr>
      <t>C2/C5</t>
    </r>
    <r>
      <rPr>
        <sz val="11"/>
        <color indexed="8"/>
        <rFont val="ＭＳ Ｐゴシック"/>
        <family val="3"/>
        <charset val="128"/>
      </rPr>
      <t>/C9</t>
    </r>
    <phoneticPr fontId="25"/>
  </si>
  <si>
    <r>
      <t>C6/</t>
    </r>
    <r>
      <rPr>
        <sz val="11"/>
        <color rgb="FFFF0000"/>
        <rFont val="ＭＳ Ｐゴシック"/>
        <family val="3"/>
        <charset val="128"/>
      </rPr>
      <t>C8/C2</t>
    </r>
    <r>
      <rPr>
        <sz val="11"/>
        <rFont val="ＭＳ Ｐゴシック"/>
        <family val="3"/>
        <charset val="128"/>
      </rPr>
      <t>/C6</t>
    </r>
    <phoneticPr fontId="25"/>
  </si>
  <si>
    <r>
      <t>C3/</t>
    </r>
    <r>
      <rPr>
        <sz val="11"/>
        <color rgb="FFFF0000"/>
        <rFont val="ＭＳ Ｐゴシック"/>
        <family val="3"/>
        <charset val="128"/>
      </rPr>
      <t>C5/C6</t>
    </r>
    <r>
      <rPr>
        <sz val="11"/>
        <color indexed="8"/>
        <rFont val="ＭＳ Ｐゴシック"/>
        <family val="3"/>
        <charset val="128"/>
      </rPr>
      <t>/C3</t>
    </r>
    <phoneticPr fontId="25"/>
  </si>
  <si>
    <r>
      <t>D7/</t>
    </r>
    <r>
      <rPr>
        <sz val="11"/>
        <color rgb="FFFF0000"/>
        <rFont val="ＭＳ Ｐゴシック"/>
        <family val="3"/>
        <charset val="128"/>
      </rPr>
      <t>A3/A6</t>
    </r>
    <r>
      <rPr>
        <sz val="11"/>
        <rFont val="ＭＳ Ｐゴシック"/>
        <family val="3"/>
        <charset val="128"/>
      </rPr>
      <t>/D7</t>
    </r>
    <phoneticPr fontId="25"/>
  </si>
  <si>
    <r>
      <t>D3/</t>
    </r>
    <r>
      <rPr>
        <sz val="11"/>
        <color rgb="FFFF0000"/>
        <rFont val="ＭＳ Ｐゴシック"/>
        <family val="3"/>
        <charset val="128"/>
      </rPr>
      <t>A8/A3</t>
    </r>
    <r>
      <rPr>
        <sz val="11"/>
        <rFont val="ＭＳ Ｐゴシック"/>
        <family val="3"/>
        <charset val="128"/>
      </rPr>
      <t>/D3</t>
    </r>
    <phoneticPr fontId="25"/>
  </si>
  <si>
    <r>
      <t>D5/</t>
    </r>
    <r>
      <rPr>
        <sz val="11"/>
        <color rgb="FFFF0000"/>
        <rFont val="ＭＳ Ｐゴシック"/>
        <family val="3"/>
        <charset val="128"/>
      </rPr>
      <t>A6/A8</t>
    </r>
    <r>
      <rPr>
        <sz val="11"/>
        <rFont val="ＭＳ Ｐゴシック"/>
        <family val="3"/>
        <charset val="128"/>
      </rPr>
      <t>/D5</t>
    </r>
    <phoneticPr fontId="25"/>
  </si>
  <si>
    <r>
      <t>A10/</t>
    </r>
    <r>
      <rPr>
        <sz val="11"/>
        <color rgb="FFFF0000"/>
        <rFont val="ＭＳ Ｐゴシック"/>
        <family val="3"/>
        <charset val="128"/>
      </rPr>
      <t>C4/C5</t>
    </r>
    <r>
      <rPr>
        <sz val="11"/>
        <rFont val="ＭＳ Ｐゴシック"/>
        <family val="3"/>
        <charset val="128"/>
      </rPr>
      <t>/A10</t>
    </r>
    <phoneticPr fontId="25"/>
  </si>
  <si>
    <r>
      <t>C6/</t>
    </r>
    <r>
      <rPr>
        <sz val="11"/>
        <color rgb="FFFF0000"/>
        <rFont val="ＭＳ Ｐゴシック"/>
        <family val="3"/>
        <charset val="128"/>
      </rPr>
      <t>A2/A7</t>
    </r>
    <r>
      <rPr>
        <sz val="11"/>
        <rFont val="ＭＳ Ｐゴシック"/>
        <family val="3"/>
        <charset val="128"/>
      </rPr>
      <t>/C6</t>
    </r>
    <phoneticPr fontId="25"/>
  </si>
  <si>
    <r>
      <t>A7/</t>
    </r>
    <r>
      <rPr>
        <sz val="11"/>
        <color rgb="FFFF0000"/>
        <rFont val="ＭＳ Ｐゴシック"/>
        <family val="3"/>
        <charset val="128"/>
      </rPr>
      <t>A3/A5</t>
    </r>
    <r>
      <rPr>
        <sz val="11"/>
        <rFont val="ＭＳ Ｐゴシック"/>
        <family val="3"/>
        <charset val="128"/>
      </rPr>
      <t>/A7</t>
    </r>
    <phoneticPr fontId="25"/>
  </si>
  <si>
    <r>
      <t>A8/</t>
    </r>
    <r>
      <rPr>
        <sz val="11"/>
        <color rgb="FFFF0000"/>
        <rFont val="ＭＳ Ｐゴシック"/>
        <family val="3"/>
        <charset val="128"/>
      </rPr>
      <t>C6/C4</t>
    </r>
    <r>
      <rPr>
        <sz val="11"/>
        <rFont val="ＭＳ Ｐゴシック"/>
        <family val="3"/>
        <charset val="128"/>
      </rPr>
      <t>/A8</t>
    </r>
    <phoneticPr fontId="25"/>
  </si>
  <si>
    <r>
      <t>A3/</t>
    </r>
    <r>
      <rPr>
        <sz val="11"/>
        <color rgb="FFFF0000"/>
        <rFont val="ＭＳ Ｐゴシック"/>
        <family val="3"/>
        <charset val="128"/>
      </rPr>
      <t>A2/A8</t>
    </r>
    <r>
      <rPr>
        <sz val="11"/>
        <rFont val="ＭＳ Ｐゴシック"/>
        <family val="3"/>
        <charset val="128"/>
      </rPr>
      <t>/A3</t>
    </r>
    <phoneticPr fontId="25"/>
  </si>
  <si>
    <r>
      <t>C5/</t>
    </r>
    <r>
      <rPr>
        <sz val="11"/>
        <color rgb="FFFF0000"/>
        <rFont val="ＭＳ Ｐゴシック"/>
        <family val="3"/>
        <charset val="128"/>
      </rPr>
      <t>A5/A10</t>
    </r>
    <r>
      <rPr>
        <sz val="11"/>
        <rFont val="ＭＳ Ｐゴシック"/>
        <family val="3"/>
        <charset val="128"/>
      </rPr>
      <t>/C5</t>
    </r>
    <phoneticPr fontId="25"/>
  </si>
  <si>
    <r>
      <rPr>
        <sz val="11"/>
        <color rgb="FFFF0000"/>
        <rFont val="ＭＳ Ｐゴシック"/>
        <family val="3"/>
        <charset val="128"/>
      </rPr>
      <t>A1/A10</t>
    </r>
    <r>
      <rPr>
        <sz val="11"/>
        <rFont val="ＭＳ Ｐゴシック"/>
        <family val="3"/>
        <charset val="128"/>
      </rPr>
      <t>/A2/</t>
    </r>
    <r>
      <rPr>
        <sz val="11"/>
        <color rgb="FFFF0000"/>
        <rFont val="ＭＳ Ｐゴシック"/>
        <family val="3"/>
        <charset val="128"/>
      </rPr>
      <t>A1</t>
    </r>
    <phoneticPr fontId="25"/>
  </si>
  <si>
    <r>
      <rPr>
        <sz val="11"/>
        <color rgb="FFFF0000"/>
        <rFont val="ＭＳ Ｐゴシック"/>
        <family val="3"/>
        <charset val="128"/>
      </rPr>
      <t>A5</t>
    </r>
    <r>
      <rPr>
        <sz val="11"/>
        <rFont val="ＭＳ Ｐゴシック"/>
        <family val="3"/>
        <charset val="128"/>
      </rPr>
      <t>/A10/</t>
    </r>
    <r>
      <rPr>
        <sz val="11"/>
        <color rgb="FFFF0000"/>
        <rFont val="ＭＳ Ｐゴシック"/>
        <family val="3"/>
        <charset val="128"/>
      </rPr>
      <t>A3/A5</t>
    </r>
    <phoneticPr fontId="25"/>
  </si>
  <si>
    <t>A3/A5/A9/A3</t>
    <phoneticPr fontId="25"/>
  </si>
  <si>
    <r>
      <t>A6/</t>
    </r>
    <r>
      <rPr>
        <sz val="11"/>
        <color rgb="FFFF0000"/>
        <rFont val="ＭＳ Ｐゴシック"/>
        <family val="3"/>
        <charset val="128"/>
      </rPr>
      <t>A2/A5</t>
    </r>
    <r>
      <rPr>
        <sz val="11"/>
        <rFont val="ＭＳ Ｐゴシック"/>
        <family val="3"/>
        <charset val="128"/>
      </rPr>
      <t>/A6</t>
    </r>
    <phoneticPr fontId="25"/>
  </si>
  <si>
    <r>
      <t>A2/</t>
    </r>
    <r>
      <rPr>
        <sz val="11"/>
        <color rgb="FFFF0000"/>
        <rFont val="ＭＳ Ｐゴシック"/>
        <family val="3"/>
        <charset val="128"/>
      </rPr>
      <t>A6/A1</t>
    </r>
    <r>
      <rPr>
        <sz val="11"/>
        <rFont val="ＭＳ Ｐゴシック"/>
        <family val="3"/>
        <charset val="128"/>
      </rPr>
      <t>/A2</t>
    </r>
    <phoneticPr fontId="25"/>
  </si>
  <si>
    <r>
      <rPr>
        <sz val="11"/>
        <color rgb="FFFF0000"/>
        <rFont val="ＭＳ Ｐゴシック"/>
        <family val="3"/>
        <charset val="128"/>
      </rPr>
      <t>A10</t>
    </r>
    <r>
      <rPr>
        <sz val="11"/>
        <rFont val="ＭＳ Ｐゴシック"/>
        <family val="3"/>
        <charset val="128"/>
      </rPr>
      <t>/A9/</t>
    </r>
    <r>
      <rPr>
        <sz val="11"/>
        <color rgb="FFFF0000"/>
        <rFont val="ＭＳ Ｐゴシック"/>
        <family val="3"/>
        <charset val="128"/>
      </rPr>
      <t>A1</t>
    </r>
    <r>
      <rPr>
        <sz val="11"/>
        <rFont val="ＭＳ Ｐゴシック"/>
        <family val="3"/>
        <charset val="128"/>
      </rPr>
      <t>/</t>
    </r>
    <r>
      <rPr>
        <sz val="11"/>
        <color rgb="FFFF0000"/>
        <rFont val="ＭＳ Ｐゴシック"/>
        <family val="3"/>
        <charset val="128"/>
      </rPr>
      <t>A10</t>
    </r>
    <phoneticPr fontId="25"/>
  </si>
  <si>
    <t>-</t>
    <phoneticPr fontId="25"/>
  </si>
  <si>
    <t>スポルト宇都宮U12</t>
    <rPh sb="4" eb="7">
      <t>ウツノミヤ</t>
    </rPh>
    <phoneticPr fontId="25"/>
  </si>
  <si>
    <t>中村　有吾</t>
    <rPh sb="0" eb="2">
      <t>ナカムラ</t>
    </rPh>
    <rPh sb="3" eb="5">
      <t>ユウゴ</t>
    </rPh>
    <phoneticPr fontId="25"/>
  </si>
  <si>
    <t>阻止(手)</t>
    <rPh sb="0" eb="2">
      <t>ソシ</t>
    </rPh>
    <rPh sb="3" eb="4">
      <t>テ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</si>
</sst>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[$-411]ggge&quot;年&quot;m&quot;月&quot;d&quot;日&quot;;@"/>
    <numFmt numFmtId="177" formatCode="yyyy/m/d&quot; (&quot;aaa&quot;)&quot;"/>
    <numFmt numFmtId="178" formatCode="m/d;@"/>
    <numFmt numFmtId="179" formatCode="h:mm;@"/>
    <numFmt numFmtId="180" formatCode="0_ "/>
    <numFmt numFmtId="181" formatCode="&quot;¥&quot;#,##0;[Red]&quot;¥-&quot;#,##0"/>
  </numFmts>
  <fonts count="83" x14ac:knownFonts="1">
    <font>
      <sz val="11"/>
      <color theme="1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AR P丸ゴシック体M"/>
      <family val="3"/>
      <charset val="128"/>
    </font>
    <font>
      <b/>
      <sz val="14"/>
      <color indexed="8"/>
      <name val="AR P丸ゴシック体M"/>
      <family val="3"/>
      <charset val="128"/>
    </font>
    <font>
      <b/>
      <sz val="11"/>
      <color indexed="8"/>
      <name val="AR P丸ゴシック体M"/>
      <family val="3"/>
      <charset val="128"/>
    </font>
    <font>
      <b/>
      <sz val="11"/>
      <color indexed="8"/>
      <name val="游ゴシック"/>
      <family val="3"/>
      <charset val="128"/>
    </font>
    <font>
      <b/>
      <sz val="12"/>
      <color indexed="8"/>
      <name val="AR P丸ゴシック体M"/>
      <family val="3"/>
      <charset val="128"/>
    </font>
    <font>
      <b/>
      <i/>
      <u/>
      <sz val="12"/>
      <color indexed="8"/>
      <name val="AR P丸ゴシック体M"/>
      <family val="3"/>
      <charset val="128"/>
    </font>
    <font>
      <b/>
      <i/>
      <sz val="14"/>
      <color indexed="8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AR丸ゴシック体M"/>
      <family val="3"/>
      <charset val="128"/>
    </font>
    <font>
      <sz val="11"/>
      <name val="AR丸ゴシック体M"/>
      <family val="3"/>
      <charset val="128"/>
    </font>
    <font>
      <b/>
      <sz val="11"/>
      <name val="AR丸ゴシック体M"/>
      <family val="3"/>
      <charset val="128"/>
    </font>
    <font>
      <sz val="12"/>
      <name val="AR丸ゴシック体M"/>
      <family val="3"/>
      <charset val="128"/>
    </font>
    <font>
      <sz val="10"/>
      <color indexed="8"/>
      <name val="Times New Roman"/>
      <family val="1"/>
    </font>
    <font>
      <u/>
      <sz val="11"/>
      <color indexed="12"/>
      <name val="ＭＳ Ｐゴシック"/>
      <family val="3"/>
      <charset val="128"/>
    </font>
    <font>
      <b/>
      <strike/>
      <sz val="12"/>
      <color indexed="8"/>
      <name val="AR P丸ゴシック体M"/>
      <family val="3"/>
      <charset val="128"/>
    </font>
    <font>
      <sz val="11"/>
      <color indexed="8"/>
      <name val="游ゴシック"/>
      <family val="3"/>
      <charset val="128"/>
    </font>
    <font>
      <sz val="6"/>
      <name val="游ゴシック"/>
      <family val="3"/>
      <charset val="128"/>
    </font>
    <font>
      <sz val="12"/>
      <color indexed="8"/>
      <name val="游ゴシック"/>
      <family val="3"/>
      <charset val="128"/>
    </font>
    <font>
      <sz val="12"/>
      <color indexed="8"/>
      <name val="AR P丸ゴシック体M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AR丸ゴシック体M"/>
      <family val="3"/>
      <charset val="128"/>
    </font>
    <font>
      <b/>
      <sz val="12"/>
      <color indexed="8"/>
      <name val="AR P丸ゴシック体M"/>
      <family val="3"/>
      <charset val="128"/>
    </font>
    <font>
      <sz val="12"/>
      <name val="Meiryo UI"/>
      <family val="3"/>
      <charset val="128"/>
    </font>
    <font>
      <b/>
      <sz val="14"/>
      <color indexed="8"/>
      <name val="游ゴシック"/>
      <family val="3"/>
      <charset val="128"/>
    </font>
    <font>
      <sz val="18"/>
      <color indexed="8"/>
      <name val="游ゴシック"/>
      <family val="3"/>
      <charset val="128"/>
    </font>
    <font>
      <sz val="12"/>
      <name val="游ゴシック"/>
      <family val="3"/>
      <charset val="128"/>
    </font>
    <font>
      <sz val="11"/>
      <color indexed="10"/>
      <name val="游ゴシック"/>
      <family val="3"/>
      <charset val="128"/>
    </font>
    <font>
      <sz val="11"/>
      <color indexed="40"/>
      <name val="游ゴシック"/>
      <family val="3"/>
      <charset val="128"/>
    </font>
    <font>
      <b/>
      <sz val="11"/>
      <color indexed="8"/>
      <name val="游ゴシック"/>
      <family val="3"/>
      <charset val="128"/>
    </font>
    <font>
      <sz val="11"/>
      <color indexed="8"/>
      <name val="AR丸ゴシック体M"/>
      <family val="3"/>
      <charset val="128"/>
    </font>
    <font>
      <u/>
      <sz val="11"/>
      <color indexed="8"/>
      <name val="AR丸ゴシック体M"/>
      <family val="3"/>
      <charset val="128"/>
    </font>
    <font>
      <sz val="14"/>
      <color indexed="8"/>
      <name val="游ゴシック"/>
      <family val="3"/>
      <charset val="128"/>
    </font>
    <font>
      <b/>
      <sz val="12"/>
      <color indexed="8"/>
      <name val="AR丸ゴシック体M"/>
      <family val="3"/>
      <charset val="128"/>
    </font>
    <font>
      <sz val="12"/>
      <name val="AR P丸ゴシック体M"/>
      <family val="3"/>
      <charset val="128"/>
    </font>
    <font>
      <i/>
      <u/>
      <sz val="12"/>
      <color indexed="8"/>
      <name val="AR P丸ゴシック体M"/>
      <family val="3"/>
      <charset val="128"/>
    </font>
    <font>
      <sz val="9"/>
      <name val="AR丸ゴシック体M"/>
      <family val="3"/>
      <charset val="128"/>
    </font>
    <font>
      <sz val="14"/>
      <color indexed="8"/>
      <name val="AR P丸ゴシック体M"/>
      <family val="3"/>
      <charset val="128"/>
    </font>
    <font>
      <i/>
      <u/>
      <sz val="14"/>
      <color indexed="8"/>
      <name val="AR P丸ゴシック体M"/>
      <family val="3"/>
      <charset val="128"/>
    </font>
    <font>
      <b/>
      <sz val="14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b/>
      <sz val="14"/>
      <name val="Meiryo UI"/>
      <family val="3"/>
      <charset val="128"/>
    </font>
    <font>
      <b/>
      <i/>
      <u/>
      <sz val="12"/>
      <color indexed="8"/>
      <name val="Meiryo UI"/>
      <family val="3"/>
      <charset val="128"/>
    </font>
    <font>
      <sz val="14"/>
      <color indexed="8"/>
      <name val="Meiryo UI"/>
      <family val="3"/>
      <charset val="128"/>
    </font>
    <font>
      <b/>
      <i/>
      <u/>
      <sz val="14"/>
      <color indexed="8"/>
      <name val="Meiryo UI"/>
      <family val="3"/>
      <charset val="128"/>
    </font>
    <font>
      <b/>
      <sz val="12"/>
      <color indexed="8"/>
      <name val="Meiryo UI"/>
      <family val="3"/>
      <charset val="128"/>
    </font>
    <font>
      <b/>
      <sz val="11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b/>
      <i/>
      <sz val="14"/>
      <color indexed="8"/>
      <name val="Meiryo UI"/>
      <family val="3"/>
      <charset val="128"/>
    </font>
    <font>
      <b/>
      <strike/>
      <sz val="12"/>
      <color indexed="8"/>
      <name val="Meiryo UI"/>
      <family val="3"/>
      <charset val="128"/>
    </font>
    <font>
      <i/>
      <u/>
      <sz val="14"/>
      <color indexed="8"/>
      <name val="Meiryo UI"/>
      <family val="3"/>
      <charset val="128"/>
    </font>
    <font>
      <b/>
      <sz val="16"/>
      <color indexed="8"/>
      <name val="Meiryo UI"/>
      <family val="3"/>
      <charset val="128"/>
    </font>
    <font>
      <sz val="16"/>
      <color indexed="8"/>
      <name val="Meiryo UI"/>
      <family val="3"/>
      <charset val="128"/>
    </font>
    <font>
      <i/>
      <u/>
      <sz val="16"/>
      <color indexed="8"/>
      <name val="Meiryo UI"/>
      <family val="3"/>
      <charset val="128"/>
    </font>
    <font>
      <sz val="14"/>
      <name val="Meiryo UI"/>
      <family val="3"/>
      <charset val="128"/>
    </font>
    <font>
      <i/>
      <u/>
      <sz val="12"/>
      <color indexed="8"/>
      <name val="Meiryo UI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MS UI Gothic"/>
      <family val="3"/>
      <charset val="128"/>
    </font>
    <font>
      <sz val="11"/>
      <name val="Arial Unicode MS"/>
      <family val="3"/>
      <charset val="128"/>
    </font>
    <font>
      <sz val="11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sz val="14"/>
      <color rgb="FFFF0000"/>
      <name val="Meiryo UI"/>
      <family val="3"/>
      <charset val="128"/>
    </font>
    <font>
      <sz val="11"/>
      <color theme="1"/>
      <name val="ＭＳ Ｐゴシック"/>
      <family val="3"/>
      <charset val="128"/>
    </font>
    <font>
      <sz val="12"/>
      <color rgb="FFFF0000"/>
      <name val="Calibri"/>
      <family val="2"/>
    </font>
    <font>
      <sz val="20"/>
      <color rgb="FFFF0000"/>
      <name val="Meiryo UI"/>
      <family val="3"/>
      <charset val="128"/>
    </font>
    <font>
      <sz val="18"/>
      <color rgb="FFFF0000"/>
      <name val="Meiryo UI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theme="0" tint="-0.249977111117893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11"/>
      <color theme="0" tint="-0.249977111117893"/>
      <name val="游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/>
      <right style="hair">
        <color indexed="64"/>
      </right>
      <top/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8"/>
      </right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thin">
        <color indexed="64"/>
      </right>
      <top style="medium">
        <color indexed="64"/>
      </top>
      <bottom style="double">
        <color indexed="8"/>
      </bottom>
      <diagonal/>
    </border>
    <border>
      <left style="thin">
        <color indexed="64"/>
      </left>
      <right/>
      <top style="medium">
        <color indexed="64"/>
      </top>
      <bottom style="double">
        <color indexed="8"/>
      </bottom>
      <diagonal/>
    </border>
    <border>
      <left style="thin">
        <color indexed="64"/>
      </left>
      <right style="hair">
        <color indexed="8"/>
      </right>
      <top style="medium">
        <color indexed="64"/>
      </top>
      <bottom style="double">
        <color indexed="8"/>
      </bottom>
      <diagonal/>
    </border>
    <border>
      <left/>
      <right style="hair">
        <color indexed="8"/>
      </right>
      <top style="medium">
        <color indexed="64"/>
      </top>
      <bottom style="double">
        <color indexed="8"/>
      </bottom>
      <diagonal/>
    </border>
    <border>
      <left style="hair">
        <color indexed="8"/>
      </left>
      <right style="thin">
        <color indexed="64"/>
      </right>
      <top style="medium">
        <color indexed="64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double">
        <color indexed="8"/>
      </bottom>
      <diagonal/>
    </border>
    <border>
      <left/>
      <right style="double">
        <color indexed="64"/>
      </right>
      <top style="medium">
        <color indexed="64"/>
      </top>
      <bottom style="double">
        <color indexed="8"/>
      </bottom>
      <diagonal/>
    </border>
    <border>
      <left/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double">
        <color indexed="8"/>
      </right>
      <top/>
      <bottom style="thin">
        <color indexed="8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hair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 diagonalDown="1">
      <left style="thin">
        <color indexed="64"/>
      </left>
      <right/>
      <top style="thin">
        <color indexed="8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8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8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8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double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8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hair">
        <color indexed="64"/>
      </right>
      <top style="double">
        <color indexed="8"/>
      </top>
      <bottom style="thin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double">
        <color indexed="64"/>
      </left>
      <right style="thin">
        <color indexed="8"/>
      </right>
      <top style="medium">
        <color indexed="64"/>
      </top>
      <bottom style="medium">
        <color indexed="64"/>
      </bottom>
      <diagonal style="hair">
        <color indexed="64"/>
      </diagonal>
    </border>
    <border diagonalDown="1"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 style="hair">
        <color indexed="64"/>
      </diagonal>
    </border>
    <border diagonalDown="1"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 style="hair">
        <color indexed="64"/>
      </diagonal>
    </border>
    <border diagonalDown="1">
      <left/>
      <right style="thin">
        <color indexed="8"/>
      </right>
      <top style="medium">
        <color indexed="64"/>
      </top>
      <bottom style="medium">
        <color indexed="64"/>
      </bottom>
      <diagonal style="hair">
        <color indexed="64"/>
      </diagonal>
    </border>
    <border diagonalDown="1">
      <left style="thin">
        <color indexed="8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 diagonalDown="1"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</borders>
  <cellStyleXfs count="39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center"/>
    </xf>
    <xf numFmtId="0" fontId="2" fillId="12" borderId="1" applyNumberFormat="0" applyFont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181" fontId="65" fillId="0" borderId="0" applyFill="0" applyBorder="0" applyAlignment="0" applyProtection="0"/>
    <xf numFmtId="0" fontId="6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69" fillId="0" borderId="0">
      <alignment vertical="center"/>
    </xf>
    <xf numFmtId="0" fontId="15" fillId="0" borderId="0">
      <alignment vertical="center"/>
    </xf>
    <xf numFmtId="0" fontId="15" fillId="0" borderId="0"/>
    <xf numFmtId="0" fontId="2" fillId="0" borderId="0">
      <alignment vertical="center"/>
    </xf>
    <xf numFmtId="0" fontId="2" fillId="0" borderId="0">
      <alignment vertical="center"/>
    </xf>
    <xf numFmtId="0" fontId="69" fillId="0" borderId="0">
      <alignment vertical="center"/>
    </xf>
    <xf numFmtId="0" fontId="69" fillId="0" borderId="0">
      <alignment vertical="center"/>
    </xf>
    <xf numFmtId="0" fontId="15" fillId="0" borderId="0"/>
    <xf numFmtId="0" fontId="15" fillId="0" borderId="0">
      <alignment vertical="center"/>
    </xf>
  </cellStyleXfs>
  <cellXfs count="990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vertical="center"/>
    </xf>
    <xf numFmtId="0" fontId="15" fillId="0" borderId="0" xfId="37"/>
    <xf numFmtId="0" fontId="18" fillId="0" borderId="0" xfId="37" applyFont="1"/>
    <xf numFmtId="0" fontId="9" fillId="0" borderId="12" xfId="0" applyFont="1" applyFill="1" applyBorder="1" applyAlignment="1">
      <alignment vertical="center" shrinkToFit="1"/>
    </xf>
    <xf numFmtId="0" fontId="11" fillId="0" borderId="12" xfId="13" applyFont="1" applyFill="1" applyBorder="1" applyAlignment="1" applyProtection="1">
      <alignment horizontal="center" vertical="center"/>
      <protection locked="0"/>
    </xf>
    <xf numFmtId="0" fontId="11" fillId="0" borderId="12" xfId="13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8" xfId="37" applyFont="1" applyBorder="1" applyAlignment="1">
      <alignment horizontal="left" vertical="center"/>
    </xf>
    <xf numFmtId="0" fontId="20" fillId="0" borderId="14" xfId="37" applyFont="1" applyBorder="1" applyAlignment="1">
      <alignment horizontal="left" vertical="center" wrapText="1"/>
    </xf>
    <xf numFmtId="0" fontId="20" fillId="0" borderId="9" xfId="37" applyFont="1" applyBorder="1" applyAlignment="1">
      <alignment vertical="center"/>
    </xf>
    <xf numFmtId="0" fontId="20" fillId="0" borderId="18" xfId="37" applyFont="1" applyBorder="1" applyAlignment="1">
      <alignment vertical="center"/>
    </xf>
    <xf numFmtId="0" fontId="69" fillId="0" borderId="0" xfId="21">
      <alignment vertical="center"/>
    </xf>
    <xf numFmtId="0" fontId="18" fillId="0" borderId="9" xfId="37" applyFont="1" applyBorder="1" applyAlignment="1">
      <alignment horizontal="center" vertical="center" shrinkToFit="1"/>
    </xf>
    <xf numFmtId="0" fontId="18" fillId="0" borderId="19" xfId="37" applyFont="1" applyBorder="1" applyAlignment="1">
      <alignment horizontal="center" vertical="center" shrinkToFit="1"/>
    </xf>
    <xf numFmtId="0" fontId="18" fillId="0" borderId="12" xfId="37" applyFont="1" applyBorder="1" applyAlignment="1">
      <alignment horizontal="center" vertical="center" shrinkToFit="1"/>
    </xf>
    <xf numFmtId="0" fontId="18" fillId="0" borderId="14" xfId="37" applyFont="1" applyBorder="1" applyAlignment="1">
      <alignment horizontal="center" vertical="center" shrinkToFit="1"/>
    </xf>
    <xf numFmtId="0" fontId="18" fillId="0" borderId="12" xfId="37" applyFont="1" applyBorder="1" applyAlignment="1">
      <alignment horizontal="center" vertical="center" wrapText="1" shrinkToFit="1"/>
    </xf>
    <xf numFmtId="0" fontId="18" fillId="0" borderId="9" xfId="37" applyFont="1" applyBorder="1" applyAlignment="1">
      <alignment horizontal="center" vertical="center" wrapText="1" shrinkToFit="1"/>
    </xf>
    <xf numFmtId="0" fontId="32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178" fontId="32" fillId="0" borderId="0" xfId="0" applyNumberFormat="1" applyFont="1">
      <alignment vertical="center"/>
    </xf>
    <xf numFmtId="20" fontId="0" fillId="0" borderId="0" xfId="0" applyNumberFormat="1">
      <alignment vertical="center"/>
    </xf>
    <xf numFmtId="0" fontId="0" fillId="0" borderId="17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center" vertical="center"/>
    </xf>
    <xf numFmtId="20" fontId="24" fillId="0" borderId="0" xfId="0" applyNumberFormat="1" applyFont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24" fillId="0" borderId="38" xfId="0" applyFont="1" applyBorder="1">
      <alignment vertical="center"/>
    </xf>
    <xf numFmtId="56" fontId="24" fillId="0" borderId="0" xfId="0" quotePrefix="1" applyNumberFormat="1" applyFont="1">
      <alignment vertical="center"/>
    </xf>
    <xf numFmtId="0" fontId="24" fillId="0" borderId="0" xfId="0" quotePrefix="1" applyFont="1">
      <alignment vertical="center"/>
    </xf>
    <xf numFmtId="0" fontId="37" fillId="0" borderId="12" xfId="0" applyFont="1" applyBorder="1">
      <alignment vertical="center"/>
    </xf>
    <xf numFmtId="0" fontId="37" fillId="0" borderId="39" xfId="0" applyFont="1" applyBorder="1">
      <alignment vertical="center"/>
    </xf>
    <xf numFmtId="0" fontId="37" fillId="0" borderId="40" xfId="0" applyFont="1" applyBorder="1">
      <alignment vertical="center"/>
    </xf>
    <xf numFmtId="0" fontId="37" fillId="0" borderId="41" xfId="0" applyFont="1" applyBorder="1">
      <alignment vertical="center"/>
    </xf>
    <xf numFmtId="0" fontId="37" fillId="0" borderId="0" xfId="0" applyFont="1">
      <alignment vertical="center"/>
    </xf>
    <xf numFmtId="0" fontId="37" fillId="0" borderId="42" xfId="0" applyFont="1" applyBorder="1">
      <alignment vertical="center"/>
    </xf>
    <xf numFmtId="0" fontId="37" fillId="0" borderId="5" xfId="0" applyFont="1" applyBorder="1">
      <alignment vertical="center"/>
    </xf>
    <xf numFmtId="0" fontId="37" fillId="0" borderId="8" xfId="0" applyFont="1" applyBorder="1">
      <alignment vertical="center"/>
    </xf>
    <xf numFmtId="0" fontId="24" fillId="0" borderId="38" xfId="0" applyFont="1" applyFill="1" applyBorder="1">
      <alignment vertical="center"/>
    </xf>
    <xf numFmtId="0" fontId="24" fillId="0" borderId="33" xfId="0" applyFont="1" applyFill="1" applyBorder="1">
      <alignment vertical="center"/>
    </xf>
    <xf numFmtId="0" fontId="0" fillId="0" borderId="33" xfId="0" applyFill="1" applyBorder="1">
      <alignment vertical="center"/>
    </xf>
    <xf numFmtId="0" fontId="35" fillId="0" borderId="33" xfId="0" applyFont="1" applyFill="1" applyBorder="1">
      <alignment vertical="center"/>
    </xf>
    <xf numFmtId="0" fontId="0" fillId="0" borderId="37" xfId="0" applyFill="1" applyBorder="1">
      <alignment vertical="center"/>
    </xf>
    <xf numFmtId="0" fontId="36" fillId="0" borderId="33" xfId="0" applyFont="1" applyFill="1" applyBorder="1">
      <alignment vertical="center"/>
    </xf>
    <xf numFmtId="0" fontId="36" fillId="0" borderId="34" xfId="0" applyFont="1" applyFill="1" applyBorder="1">
      <alignment vertical="center"/>
    </xf>
    <xf numFmtId="0" fontId="35" fillId="13" borderId="33" xfId="0" applyFont="1" applyFill="1" applyBorder="1">
      <alignment vertical="center"/>
    </xf>
    <xf numFmtId="0" fontId="0" fillId="0" borderId="35" xfId="0" applyFill="1" applyBorder="1">
      <alignment vertical="center"/>
    </xf>
    <xf numFmtId="49" fontId="0" fillId="0" borderId="0" xfId="0" applyNumberFormat="1">
      <alignment vertical="center"/>
    </xf>
    <xf numFmtId="49" fontId="24" fillId="0" borderId="0" xfId="0" applyNumberFormat="1" applyFont="1">
      <alignment vertical="center"/>
    </xf>
    <xf numFmtId="0" fontId="0" fillId="0" borderId="0" xfId="0" applyFill="1">
      <alignment vertical="center"/>
    </xf>
    <xf numFmtId="0" fontId="24" fillId="0" borderId="0" xfId="0" applyFont="1" applyBorder="1">
      <alignment vertical="center"/>
    </xf>
    <xf numFmtId="20" fontId="0" fillId="0" borderId="0" xfId="0" applyNumberFormat="1" applyBorder="1">
      <alignment vertical="center"/>
    </xf>
    <xf numFmtId="0" fontId="24" fillId="0" borderId="0" xfId="0" applyFont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 shrinkToFit="1"/>
    </xf>
    <xf numFmtId="0" fontId="18" fillId="0" borderId="2" xfId="37" applyFont="1" applyBorder="1" applyAlignment="1">
      <alignment horizontal="center" vertical="center"/>
    </xf>
    <xf numFmtId="0" fontId="38" fillId="0" borderId="17" xfId="21" applyFont="1" applyBorder="1" applyAlignment="1">
      <alignment horizontal="center" vertical="center"/>
    </xf>
    <xf numFmtId="0" fontId="38" fillId="0" borderId="10" xfId="21" applyFont="1" applyBorder="1" applyAlignment="1">
      <alignment horizontal="center" vertical="center"/>
    </xf>
    <xf numFmtId="0" fontId="38" fillId="0" borderId="2" xfId="21" applyFont="1" applyBorder="1" applyAlignment="1">
      <alignment horizontal="center" vertical="center"/>
    </xf>
    <xf numFmtId="0" fontId="38" fillId="0" borderId="9" xfId="21" applyFont="1" applyBorder="1" applyAlignment="1">
      <alignment horizontal="center" vertical="center"/>
    </xf>
    <xf numFmtId="0" fontId="18" fillId="0" borderId="17" xfId="37" applyFont="1" applyBorder="1" applyAlignment="1">
      <alignment horizontal="center" vertical="center"/>
    </xf>
    <xf numFmtId="0" fontId="18" fillId="0" borderId="2" xfId="37" applyFont="1" applyBorder="1" applyAlignment="1">
      <alignment horizontal="center" vertical="center" wrapText="1"/>
    </xf>
    <xf numFmtId="0" fontId="38" fillId="0" borderId="17" xfId="21" applyFont="1" applyBorder="1" applyAlignment="1">
      <alignment horizontal="center" vertical="center" wrapText="1"/>
    </xf>
    <xf numFmtId="0" fontId="38" fillId="0" borderId="2" xfId="21" applyFont="1" applyBorder="1" applyAlignment="1">
      <alignment horizontal="center" vertical="center" wrapText="1"/>
    </xf>
    <xf numFmtId="0" fontId="38" fillId="0" borderId="9" xfId="21" applyFont="1" applyBorder="1" applyAlignment="1">
      <alignment horizontal="center" vertical="center" wrapText="1"/>
    </xf>
    <xf numFmtId="0" fontId="38" fillId="0" borderId="10" xfId="2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49" fontId="15" fillId="0" borderId="3" xfId="22" applyNumberFormat="1" applyFont="1" applyBorder="1" applyAlignment="1">
      <alignment horizontal="center" vertical="center" shrinkToFit="1"/>
    </xf>
    <xf numFmtId="0" fontId="11" fillId="0" borderId="9" xfId="13" applyFont="1" applyFill="1" applyBorder="1" applyAlignment="1" applyProtection="1">
      <alignment horizontal="center" vertical="center"/>
      <protection locked="0"/>
    </xf>
    <xf numFmtId="0" fontId="11" fillId="0" borderId="9" xfId="13" applyFont="1" applyFill="1" applyBorder="1" applyAlignment="1">
      <alignment horizontal="center" vertical="center"/>
    </xf>
    <xf numFmtId="0" fontId="0" fillId="0" borderId="0" xfId="0" quotePrefix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20" fontId="11" fillId="0" borderId="0" xfId="0" applyNumberFormat="1" applyFont="1" applyFill="1" applyBorder="1" applyAlignment="1">
      <alignment horizontal="center" vertical="center" shrinkToFit="1"/>
    </xf>
    <xf numFmtId="176" fontId="43" fillId="0" borderId="0" xfId="0" applyNumberFormat="1" applyFont="1" applyFill="1" applyBorder="1" applyAlignment="1">
      <alignment vertical="center"/>
    </xf>
    <xf numFmtId="0" fontId="35" fillId="0" borderId="34" xfId="0" applyFont="1" applyFill="1" applyBorder="1">
      <alignment vertical="center"/>
    </xf>
    <xf numFmtId="0" fontId="35" fillId="13" borderId="34" xfId="0" applyFont="1" applyFill="1" applyBorder="1">
      <alignment vertical="center"/>
    </xf>
    <xf numFmtId="0" fontId="0" fillId="0" borderId="46" xfId="0" applyBorder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176" fontId="46" fillId="0" borderId="0" xfId="0" applyNumberFormat="1" applyFont="1" applyFill="1" applyBorder="1" applyAlignment="1">
      <alignment vertical="center"/>
    </xf>
    <xf numFmtId="176" fontId="52" fillId="0" borderId="0" xfId="0" applyNumberFormat="1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176" fontId="50" fillId="0" borderId="0" xfId="0" applyNumberFormat="1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54" fillId="0" borderId="12" xfId="0" applyFont="1" applyFill="1" applyBorder="1" applyAlignment="1">
      <alignment vertical="center" shrinkToFit="1"/>
    </xf>
    <xf numFmtId="0" fontId="47" fillId="0" borderId="12" xfId="13" applyFont="1" applyFill="1" applyBorder="1" applyAlignment="1" applyProtection="1">
      <alignment horizontal="center" vertical="center"/>
      <protection locked="0"/>
    </xf>
    <xf numFmtId="0" fontId="47" fillId="0" borderId="12" xfId="13" applyFont="1" applyFill="1" applyBorder="1" applyAlignment="1">
      <alignment horizontal="center" vertical="center"/>
    </xf>
    <xf numFmtId="0" fontId="53" fillId="0" borderId="12" xfId="13" applyFont="1" applyFill="1" applyBorder="1" applyAlignment="1" applyProtection="1">
      <alignment horizontal="center" vertical="center"/>
      <protection locked="0"/>
    </xf>
    <xf numFmtId="0" fontId="53" fillId="0" borderId="12" xfId="13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 shrinkToFit="1"/>
    </xf>
    <xf numFmtId="20" fontId="53" fillId="0" borderId="0" xfId="0" applyNumberFormat="1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 shrinkToFit="1"/>
    </xf>
    <xf numFmtId="0" fontId="53" fillId="0" borderId="9" xfId="13" applyFont="1" applyFill="1" applyBorder="1" applyAlignment="1" applyProtection="1">
      <alignment horizontal="center" vertical="center"/>
      <protection locked="0"/>
    </xf>
    <xf numFmtId="0" fontId="53" fillId="0" borderId="9" xfId="13" applyFont="1" applyFill="1" applyBorder="1" applyAlignment="1">
      <alignment horizontal="center" vertical="center"/>
    </xf>
    <xf numFmtId="176" fontId="59" fillId="0" borderId="0" xfId="0" applyNumberFormat="1" applyFont="1" applyFill="1" applyBorder="1" applyAlignment="1">
      <alignment vertical="center"/>
    </xf>
    <xf numFmtId="176" fontId="62" fillId="0" borderId="0" xfId="0" applyNumberFormat="1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56" fontId="24" fillId="0" borderId="38" xfId="0" applyNumberFormat="1" applyFont="1" applyBorder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17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 textRotation="255" shrinkToFit="1"/>
    </xf>
    <xf numFmtId="0" fontId="53" fillId="0" borderId="0" xfId="0" applyFont="1" applyFill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 shrinkToFit="1"/>
    </xf>
    <xf numFmtId="0" fontId="47" fillId="0" borderId="0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vertical="center"/>
    </xf>
    <xf numFmtId="0" fontId="51" fillId="0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textRotation="255" shrinkToFit="1"/>
    </xf>
    <xf numFmtId="0" fontId="11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48" fillId="0" borderId="3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Border="1" applyAlignment="1">
      <alignment vertical="center"/>
    </xf>
    <xf numFmtId="176" fontId="64" fillId="0" borderId="0" xfId="0" applyNumberFormat="1" applyFont="1" applyFill="1" applyBorder="1" applyAlignment="1">
      <alignment vertical="center"/>
    </xf>
    <xf numFmtId="0" fontId="54" fillId="0" borderId="54" xfId="0" applyFont="1" applyFill="1" applyBorder="1" applyAlignment="1">
      <alignment horizontal="center" vertical="center" shrinkToFit="1"/>
    </xf>
    <xf numFmtId="0" fontId="48" fillId="0" borderId="54" xfId="0" applyFont="1" applyFill="1" applyBorder="1" applyAlignment="1">
      <alignment horizontal="left" vertical="center" shrinkToFit="1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15" fillId="0" borderId="80" xfId="38" applyFill="1" applyBorder="1" applyAlignment="1">
      <alignment horizontal="center" vertical="center" shrinkToFit="1"/>
    </xf>
    <xf numFmtId="0" fontId="15" fillId="0" borderId="81" xfId="38" applyFont="1" applyFill="1" applyBorder="1" applyAlignment="1">
      <alignment vertical="center" shrinkToFit="1"/>
    </xf>
    <xf numFmtId="0" fontId="15" fillId="0" borderId="90" xfId="38" applyFont="1" applyFill="1" applyBorder="1" applyAlignment="1">
      <alignment horizontal="center" vertical="center" shrinkToFit="1"/>
    </xf>
    <xf numFmtId="0" fontId="15" fillId="0" borderId="91" xfId="38" applyFont="1" applyFill="1" applyBorder="1" applyAlignment="1">
      <alignment horizontal="center" vertical="center" shrinkToFit="1"/>
    </xf>
    <xf numFmtId="0" fontId="15" fillId="0" borderId="92" xfId="38" applyFont="1" applyFill="1" applyBorder="1" applyAlignment="1">
      <alignment horizontal="center" vertical="center" shrinkToFit="1"/>
    </xf>
    <xf numFmtId="0" fontId="15" fillId="0" borderId="84" xfId="38" applyFont="1" applyFill="1" applyBorder="1" applyAlignment="1">
      <alignment vertical="center" shrinkToFit="1"/>
    </xf>
    <xf numFmtId="0" fontId="15" fillId="0" borderId="93" xfId="38" applyFont="1" applyFill="1" applyBorder="1" applyAlignment="1">
      <alignment horizontal="center" vertical="center" shrinkToFit="1"/>
    </xf>
    <xf numFmtId="0" fontId="15" fillId="0" borderId="0" xfId="38" applyFill="1" applyAlignment="1">
      <alignment vertical="center" shrinkToFit="1"/>
    </xf>
    <xf numFmtId="0" fontId="67" fillId="0" borderId="94" xfId="38" quotePrefix="1" applyFont="1" applyFill="1" applyBorder="1" applyAlignment="1">
      <alignment horizontal="center" vertical="center"/>
    </xf>
    <xf numFmtId="0" fontId="67" fillId="0" borderId="95" xfId="38" applyFont="1" applyFill="1" applyBorder="1" applyAlignment="1" applyProtection="1">
      <alignment vertical="center" shrinkToFit="1"/>
      <protection locked="0"/>
    </xf>
    <xf numFmtId="0" fontId="15" fillId="0" borderId="97" xfId="38" applyFont="1" applyFill="1" applyBorder="1" applyAlignment="1">
      <alignment horizontal="center" vertical="center" shrinkToFit="1"/>
    </xf>
    <xf numFmtId="0" fontId="15" fillId="0" borderId="98" xfId="38" applyFont="1" applyFill="1" applyBorder="1" applyAlignment="1">
      <alignment horizontal="center" vertical="center" shrinkToFit="1"/>
    </xf>
    <xf numFmtId="180" fontId="15" fillId="0" borderId="0" xfId="38" applyNumberFormat="1" applyFill="1" applyBorder="1">
      <alignment vertical="center"/>
    </xf>
    <xf numFmtId="0" fontId="15" fillId="0" borderId="99" xfId="38" applyFont="1" applyFill="1" applyBorder="1" applyAlignment="1">
      <alignment horizontal="center" vertical="center" shrinkToFit="1"/>
    </xf>
    <xf numFmtId="180" fontId="15" fillId="0" borderId="100" xfId="38" applyNumberFormat="1" applyFill="1" applyBorder="1">
      <alignment vertical="center"/>
    </xf>
    <xf numFmtId="180" fontId="15" fillId="0" borderId="101" xfId="38" applyNumberFormat="1" applyFill="1" applyBorder="1">
      <alignment vertical="center"/>
    </xf>
    <xf numFmtId="180" fontId="15" fillId="0" borderId="98" xfId="38" applyNumberFormat="1" applyFill="1" applyBorder="1">
      <alignment vertical="center"/>
    </xf>
    <xf numFmtId="0" fontId="15" fillId="0" borderId="103" xfId="38" applyFont="1" applyFill="1" applyBorder="1" applyAlignment="1">
      <alignment horizontal="center" vertical="center"/>
    </xf>
    <xf numFmtId="0" fontId="15" fillId="0" borderId="104" xfId="38" applyFont="1" applyFill="1" applyBorder="1" applyAlignment="1">
      <alignment horizontal="center" vertical="center"/>
    </xf>
    <xf numFmtId="0" fontId="15" fillId="0" borderId="105" xfId="38" applyFont="1" applyFill="1" applyBorder="1" applyAlignment="1">
      <alignment horizontal="center" vertical="center"/>
    </xf>
    <xf numFmtId="180" fontId="15" fillId="0" borderId="103" xfId="38" applyNumberFormat="1" applyFont="1" applyFill="1" applyBorder="1" applyAlignment="1">
      <alignment horizontal="center" vertical="center"/>
    </xf>
    <xf numFmtId="180" fontId="15" fillId="0" borderId="106" xfId="38" applyNumberFormat="1" applyFont="1" applyFill="1" applyBorder="1" applyAlignment="1">
      <alignment horizontal="center" vertical="center"/>
    </xf>
    <xf numFmtId="0" fontId="16" fillId="0" borderId="107" xfId="38" applyFont="1" applyFill="1" applyBorder="1" applyAlignment="1">
      <alignment horizontal="center" vertical="center"/>
    </xf>
    <xf numFmtId="180" fontId="15" fillId="0" borderId="0" xfId="38" applyNumberFormat="1" applyFill="1">
      <alignment vertical="center"/>
    </xf>
    <xf numFmtId="0" fontId="15" fillId="0" borderId="0" xfId="38" applyFill="1">
      <alignment vertical="center"/>
    </xf>
    <xf numFmtId="0" fontId="67" fillId="0" borderId="108" xfId="38" quotePrefix="1" applyFont="1" applyFill="1" applyBorder="1" applyAlignment="1">
      <alignment horizontal="center" vertical="center"/>
    </xf>
    <xf numFmtId="0" fontId="68" fillId="0" borderId="109" xfId="38" applyFont="1" applyFill="1" applyBorder="1" applyAlignment="1">
      <alignment horizontal="center" vertical="center" shrinkToFit="1"/>
    </xf>
    <xf numFmtId="0" fontId="15" fillId="0" borderId="109" xfId="38" applyFont="1" applyFill="1" applyBorder="1" applyAlignment="1">
      <alignment horizontal="center" vertical="center" shrinkToFit="1"/>
    </xf>
    <xf numFmtId="0" fontId="68" fillId="0" borderId="110" xfId="38" applyFont="1" applyFill="1" applyBorder="1" applyAlignment="1">
      <alignment horizontal="center" vertical="center" shrinkToFit="1"/>
    </xf>
    <xf numFmtId="0" fontId="15" fillId="0" borderId="11" xfId="38" applyFont="1" applyFill="1" applyBorder="1" applyAlignment="1">
      <alignment horizontal="center" vertical="center" shrinkToFit="1"/>
    </xf>
    <xf numFmtId="180" fontId="15" fillId="0" borderId="11" xfId="38" applyNumberFormat="1" applyFill="1" applyBorder="1">
      <alignment vertical="center"/>
    </xf>
    <xf numFmtId="180" fontId="15" fillId="0" borderId="7" xfId="38" applyNumberFormat="1" applyFill="1" applyBorder="1">
      <alignment vertical="center"/>
    </xf>
    <xf numFmtId="0" fontId="15" fillId="0" borderId="6" xfId="38" applyFont="1" applyFill="1" applyBorder="1" applyAlignment="1">
      <alignment horizontal="center" vertical="center" shrinkToFit="1"/>
    </xf>
    <xf numFmtId="180" fontId="15" fillId="0" borderId="16" xfId="38" applyNumberFormat="1" applyFill="1" applyBorder="1">
      <alignment vertical="center"/>
    </xf>
    <xf numFmtId="180" fontId="15" fillId="0" borderId="6" xfId="38" applyNumberFormat="1" applyFill="1" applyBorder="1">
      <alignment vertical="center"/>
    </xf>
    <xf numFmtId="0" fontId="15" fillId="0" borderId="3" xfId="38" applyFont="1" applyFill="1" applyBorder="1" applyAlignment="1">
      <alignment horizontal="center" vertical="center" shrinkToFit="1"/>
    </xf>
    <xf numFmtId="180" fontId="15" fillId="0" borderId="116" xfId="38" applyNumberFormat="1" applyFill="1" applyBorder="1">
      <alignment vertical="center"/>
    </xf>
    <xf numFmtId="0" fontId="68" fillId="0" borderId="117" xfId="38" applyFont="1" applyFill="1" applyBorder="1" applyAlignment="1">
      <alignment horizontal="center" vertical="center" shrinkToFit="1"/>
    </xf>
    <xf numFmtId="0" fontId="15" fillId="0" borderId="117" xfId="38" applyFont="1" applyFill="1" applyBorder="1" applyAlignment="1">
      <alignment horizontal="center" vertical="center" shrinkToFit="1"/>
    </xf>
    <xf numFmtId="0" fontId="68" fillId="0" borderId="118" xfId="38" applyFont="1" applyFill="1" applyBorder="1" applyAlignment="1">
      <alignment horizontal="center" vertical="center" shrinkToFit="1"/>
    </xf>
    <xf numFmtId="0" fontId="15" fillId="0" borderId="121" xfId="38" applyFont="1" applyFill="1" applyBorder="1" applyAlignment="1">
      <alignment horizontal="center" vertical="center" shrinkToFit="1"/>
    </xf>
    <xf numFmtId="0" fontId="15" fillId="0" borderId="122" xfId="38" applyFont="1" applyFill="1" applyBorder="1" applyAlignment="1">
      <alignment horizontal="center" vertical="center" shrinkToFit="1"/>
    </xf>
    <xf numFmtId="0" fontId="68" fillId="0" borderId="6" xfId="38" applyFont="1" applyFill="1" applyBorder="1" applyAlignment="1">
      <alignment horizontal="center" vertical="center" shrinkToFit="1"/>
    </xf>
    <xf numFmtId="0" fontId="68" fillId="0" borderId="16" xfId="38" applyFont="1" applyFill="1" applyBorder="1" applyAlignment="1">
      <alignment horizontal="center" vertical="center" shrinkToFit="1"/>
    </xf>
    <xf numFmtId="180" fontId="15" fillId="0" borderId="124" xfId="38" applyNumberFormat="1" applyFill="1" applyBorder="1">
      <alignment vertical="center"/>
    </xf>
    <xf numFmtId="180" fontId="15" fillId="0" borderId="125" xfId="38" applyNumberFormat="1" applyFill="1" applyBorder="1">
      <alignment vertical="center"/>
    </xf>
    <xf numFmtId="180" fontId="15" fillId="0" borderId="13" xfId="38" applyNumberFormat="1" applyFill="1" applyBorder="1">
      <alignment vertical="center"/>
    </xf>
    <xf numFmtId="0" fontId="15" fillId="0" borderId="126" xfId="38" applyFont="1" applyFill="1" applyBorder="1" applyAlignment="1">
      <alignment horizontal="center" vertical="center" shrinkToFit="1"/>
    </xf>
    <xf numFmtId="0" fontId="15" fillId="0" borderId="127" xfId="38" applyFont="1" applyFill="1" applyBorder="1" applyAlignment="1">
      <alignment horizontal="center" vertical="center"/>
    </xf>
    <xf numFmtId="0" fontId="15" fillId="0" borderId="128" xfId="38" applyFont="1" applyFill="1" applyBorder="1" applyAlignment="1">
      <alignment horizontal="center" vertical="center"/>
    </xf>
    <xf numFmtId="0" fontId="15" fillId="0" borderId="129" xfId="38" applyFont="1" applyFill="1" applyBorder="1" applyAlignment="1">
      <alignment horizontal="center" vertical="center"/>
    </xf>
    <xf numFmtId="180" fontId="15" fillId="0" borderId="130" xfId="38" applyNumberFormat="1" applyFont="1" applyFill="1" applyBorder="1" applyAlignment="1">
      <alignment horizontal="center" vertical="center"/>
    </xf>
    <xf numFmtId="180" fontId="15" fillId="0" borderId="131" xfId="38" applyNumberFormat="1" applyFont="1" applyFill="1" applyBorder="1" applyAlignment="1">
      <alignment horizontal="center" vertical="center"/>
    </xf>
    <xf numFmtId="0" fontId="16" fillId="0" borderId="132" xfId="38" applyFont="1" applyFill="1" applyBorder="1" applyAlignment="1">
      <alignment horizontal="center" vertical="center"/>
    </xf>
    <xf numFmtId="0" fontId="67" fillId="0" borderId="0" xfId="38" quotePrefix="1" applyFont="1" applyFill="1" applyBorder="1" applyAlignment="1">
      <alignment horizontal="center" vertical="center"/>
    </xf>
    <xf numFmtId="0" fontId="67" fillId="0" borderId="0" xfId="38" applyFont="1" applyFill="1" applyBorder="1" applyAlignment="1" applyProtection="1">
      <alignment vertical="center" shrinkToFit="1"/>
      <protection locked="0"/>
    </xf>
    <xf numFmtId="0" fontId="15" fillId="0" borderId="0" xfId="38" applyFont="1" applyFill="1" applyBorder="1" applyAlignment="1">
      <alignment horizontal="center" vertical="center" shrinkToFit="1"/>
    </xf>
    <xf numFmtId="0" fontId="68" fillId="0" borderId="0" xfId="38" applyFont="1" applyFill="1" applyBorder="1" applyAlignment="1">
      <alignment horizontal="center" vertical="center" shrinkToFit="1"/>
    </xf>
    <xf numFmtId="49" fontId="15" fillId="0" borderId="0" xfId="38" applyNumberFormat="1" applyFont="1" applyFill="1" applyBorder="1" applyAlignment="1">
      <alignment horizontal="center" vertical="center" wrapText="1"/>
    </xf>
    <xf numFmtId="0" fontId="15" fillId="0" borderId="0" xfId="38" applyFont="1" applyFill="1" applyBorder="1" applyAlignment="1">
      <alignment horizontal="center" vertical="center"/>
    </xf>
    <xf numFmtId="180" fontId="15" fillId="0" borderId="0" xfId="38" applyNumberFormat="1" applyFont="1" applyFill="1" applyBorder="1" applyAlignment="1">
      <alignment horizontal="center" vertical="center"/>
    </xf>
    <xf numFmtId="0" fontId="16" fillId="0" borderId="0" xfId="38" applyFont="1" applyFill="1" applyBorder="1" applyAlignment="1">
      <alignment horizontal="center" vertical="center"/>
    </xf>
    <xf numFmtId="0" fontId="15" fillId="0" borderId="0" xfId="38" applyFont="1" applyFill="1">
      <alignment vertical="center"/>
    </xf>
    <xf numFmtId="0" fontId="66" fillId="0" borderId="0" xfId="38" applyFont="1" applyFill="1">
      <alignment vertical="center"/>
    </xf>
    <xf numFmtId="0" fontId="15" fillId="0" borderId="0" xfId="38" applyFont="1" applyFill="1" applyAlignment="1">
      <alignment vertical="center" shrinkToFit="1"/>
    </xf>
    <xf numFmtId="180" fontId="15" fillId="0" borderId="133" xfId="38" applyNumberFormat="1" applyFill="1" applyBorder="1">
      <alignment vertical="center"/>
    </xf>
    <xf numFmtId="180" fontId="15" fillId="0" borderId="134" xfId="38" applyNumberFormat="1" applyFill="1" applyBorder="1">
      <alignment vertical="center"/>
    </xf>
    <xf numFmtId="0" fontId="15" fillId="0" borderId="135" xfId="38" applyFont="1" applyFill="1" applyBorder="1" applyAlignment="1">
      <alignment horizontal="center" vertical="center" shrinkToFit="1"/>
    </xf>
    <xf numFmtId="180" fontId="15" fillId="0" borderId="44" xfId="38" applyNumberFormat="1" applyFill="1" applyBorder="1">
      <alignment vertical="center"/>
    </xf>
    <xf numFmtId="0" fontId="15" fillId="0" borderId="136" xfId="38" applyFont="1" applyFill="1" applyBorder="1" applyAlignment="1">
      <alignment horizontal="center" vertical="center" shrinkToFit="1"/>
    </xf>
    <xf numFmtId="180" fontId="15" fillId="0" borderId="32" xfId="38" applyNumberFormat="1" applyFill="1" applyBorder="1">
      <alignment vertical="center"/>
    </xf>
    <xf numFmtId="0" fontId="67" fillId="0" borderId="137" xfId="38" quotePrefix="1" applyFont="1" applyFill="1" applyBorder="1" applyAlignment="1">
      <alignment horizontal="center" vertical="center"/>
    </xf>
    <xf numFmtId="0" fontId="67" fillId="0" borderId="138" xfId="38" applyFont="1" applyFill="1" applyBorder="1" applyAlignment="1" applyProtection="1">
      <alignment vertical="center" shrinkToFit="1"/>
      <protection locked="0"/>
    </xf>
    <xf numFmtId="22" fontId="15" fillId="0" borderId="0" xfId="38" quotePrefix="1" applyNumberFormat="1" applyFont="1" applyFill="1" applyAlignment="1">
      <alignment vertical="center" shrinkToFit="1"/>
    </xf>
    <xf numFmtId="22" fontId="15" fillId="0" borderId="0" xfId="38" quotePrefix="1" applyNumberFormat="1" applyFont="1" applyFill="1">
      <alignment vertical="center"/>
    </xf>
    <xf numFmtId="0" fontId="15" fillId="0" borderId="0" xfId="38" quotePrefix="1" applyFont="1" applyFill="1" applyAlignment="1">
      <alignment vertical="center" shrinkToFit="1"/>
    </xf>
    <xf numFmtId="0" fontId="15" fillId="0" borderId="0" xfId="38" quotePrefix="1" applyFont="1" applyFill="1">
      <alignment vertical="center"/>
    </xf>
    <xf numFmtId="0" fontId="68" fillId="0" borderId="139" xfId="38" applyFont="1" applyFill="1" applyBorder="1" applyAlignment="1">
      <alignment horizontal="center" vertical="center" shrinkToFit="1"/>
    </xf>
    <xf numFmtId="0" fontId="15" fillId="0" borderId="139" xfId="38" applyFont="1" applyFill="1" applyBorder="1" applyAlignment="1">
      <alignment horizontal="center" vertical="center" shrinkToFit="1"/>
    </xf>
    <xf numFmtId="0" fontId="68" fillId="0" borderId="140" xfId="38" applyFont="1" applyFill="1" applyBorder="1" applyAlignment="1">
      <alignment horizontal="center" vertical="center" shrinkToFit="1"/>
    </xf>
    <xf numFmtId="0" fontId="15" fillId="0" borderId="130" xfId="38" applyFont="1" applyFill="1" applyBorder="1" applyAlignment="1">
      <alignment horizontal="center" vertical="center"/>
    </xf>
    <xf numFmtId="0" fontId="15" fillId="0" borderId="143" xfId="38" applyFont="1" applyFill="1" applyBorder="1" applyAlignment="1">
      <alignment horizontal="center" vertical="center" shrinkToFit="1"/>
    </xf>
    <xf numFmtId="0" fontId="68" fillId="0" borderId="144" xfId="38" applyFont="1" applyFill="1" applyBorder="1" applyAlignment="1">
      <alignment horizontal="center" vertical="center" shrinkToFit="1"/>
    </xf>
    <xf numFmtId="0" fontId="15" fillId="0" borderId="144" xfId="38" applyFont="1" applyFill="1" applyBorder="1" applyAlignment="1">
      <alignment horizontal="center" vertical="center" shrinkToFit="1"/>
    </xf>
    <xf numFmtId="0" fontId="68" fillId="0" borderId="145" xfId="38" applyFont="1" applyFill="1" applyBorder="1" applyAlignment="1">
      <alignment horizontal="center" vertical="center" shrinkToFit="1"/>
    </xf>
    <xf numFmtId="0" fontId="15" fillId="0" borderId="146" xfId="38" applyFont="1" applyFill="1" applyBorder="1" applyAlignment="1">
      <alignment horizontal="center" vertical="center"/>
    </xf>
    <xf numFmtId="0" fontId="15" fillId="0" borderId="147" xfId="38" applyFont="1" applyFill="1" applyBorder="1" applyAlignment="1">
      <alignment horizontal="center" vertical="center"/>
    </xf>
    <xf numFmtId="0" fontId="18" fillId="0" borderId="2" xfId="37" applyFont="1" applyBorder="1" applyAlignment="1">
      <alignment horizontal="center" vertical="center" shrinkToFit="1"/>
    </xf>
    <xf numFmtId="0" fontId="18" fillId="0" borderId="2" xfId="37" applyFont="1" applyBorder="1" applyAlignment="1">
      <alignment horizontal="center" vertical="center" shrinkToFit="1"/>
    </xf>
    <xf numFmtId="0" fontId="38" fillId="0" borderId="17" xfId="21" applyFont="1" applyBorder="1" applyAlignment="1">
      <alignment horizontal="center" vertical="center" shrinkToFit="1"/>
    </xf>
    <xf numFmtId="0" fontId="15" fillId="0" borderId="82" xfId="38" applyFont="1" applyFill="1" applyBorder="1" applyAlignment="1">
      <alignment horizontal="center" vertical="center" shrinkToFit="1"/>
    </xf>
    <xf numFmtId="0" fontId="15" fillId="0" borderId="0" xfId="38" applyFill="1" applyAlignment="1">
      <alignment horizontal="center" vertical="center"/>
    </xf>
    <xf numFmtId="180" fontId="2" fillId="0" borderId="0" xfId="38" applyNumberFormat="1" applyFont="1" applyFill="1" applyBorder="1">
      <alignment vertical="center"/>
    </xf>
    <xf numFmtId="180" fontId="2" fillId="0" borderId="98" xfId="38" applyNumberFormat="1" applyFont="1" applyFill="1" applyBorder="1">
      <alignment vertical="center"/>
    </xf>
    <xf numFmtId="0" fontId="15" fillId="0" borderId="148" xfId="38" applyFont="1" applyFill="1" applyBorder="1" applyAlignment="1">
      <alignment horizontal="center" vertical="center" shrinkToFit="1"/>
    </xf>
    <xf numFmtId="180" fontId="15" fillId="0" borderId="102" xfId="38" applyNumberFormat="1" applyFill="1" applyBorder="1">
      <alignment vertical="center"/>
    </xf>
    <xf numFmtId="180" fontId="2" fillId="0" borderId="11" xfId="38" applyNumberFormat="1" applyFont="1" applyFill="1" applyBorder="1">
      <alignment vertical="center"/>
    </xf>
    <xf numFmtId="0" fontId="15" fillId="0" borderId="114" xfId="38" applyFont="1" applyFill="1" applyBorder="1" applyAlignment="1">
      <alignment horizontal="center" vertical="center" shrinkToFit="1"/>
    </xf>
    <xf numFmtId="180" fontId="15" fillId="0" borderId="115" xfId="38" applyNumberFormat="1" applyFill="1" applyBorder="1">
      <alignment vertical="center"/>
    </xf>
    <xf numFmtId="180" fontId="15" fillId="0" borderId="15" xfId="38" applyNumberFormat="1" applyFill="1" applyBorder="1">
      <alignment vertical="center"/>
    </xf>
    <xf numFmtId="180" fontId="15" fillId="0" borderId="0" xfId="38" applyNumberFormat="1" applyFont="1" applyFill="1" applyBorder="1">
      <alignment vertical="center"/>
    </xf>
    <xf numFmtId="0" fontId="15" fillId="0" borderId="157" xfId="38" applyFont="1" applyFill="1" applyBorder="1" applyAlignment="1">
      <alignment horizontal="center" vertical="center" shrinkToFit="1"/>
    </xf>
    <xf numFmtId="0" fontId="15" fillId="0" borderId="158" xfId="38" applyFont="1" applyFill="1" applyBorder="1" applyAlignment="1">
      <alignment horizontal="center" vertical="center"/>
    </xf>
    <xf numFmtId="0" fontId="15" fillId="0" borderId="159" xfId="38" applyFont="1" applyFill="1" applyBorder="1" applyAlignment="1">
      <alignment horizontal="center" vertical="center"/>
    </xf>
    <xf numFmtId="0" fontId="15" fillId="0" borderId="160" xfId="38" applyFont="1" applyFill="1" applyBorder="1" applyAlignment="1">
      <alignment horizontal="center" vertical="center" shrinkToFit="1"/>
    </xf>
    <xf numFmtId="0" fontId="15" fillId="0" borderId="93" xfId="38" applyFont="1" applyFill="1" applyBorder="1" applyAlignment="1">
      <alignment vertical="center" shrinkToFit="1"/>
    </xf>
    <xf numFmtId="0" fontId="67" fillId="0" borderId="161" xfId="38" applyFont="1" applyFill="1" applyBorder="1" applyAlignment="1" applyProtection="1">
      <alignment vertical="center" shrinkToFit="1"/>
      <protection locked="0"/>
    </xf>
    <xf numFmtId="0" fontId="67" fillId="0" borderId="163" xfId="38" applyFont="1" applyFill="1" applyBorder="1" applyAlignment="1" applyProtection="1">
      <alignment vertical="center" shrinkToFit="1"/>
      <protection locked="0"/>
    </xf>
    <xf numFmtId="0" fontId="15" fillId="0" borderId="164" xfId="38" applyFill="1" applyBorder="1" applyAlignment="1">
      <alignment horizontal="center" vertical="center" shrinkToFit="1"/>
    </xf>
    <xf numFmtId="0" fontId="15" fillId="0" borderId="165" xfId="38" applyFont="1" applyFill="1" applyBorder="1" applyAlignment="1">
      <alignment vertical="center" shrinkToFit="1"/>
    </xf>
    <xf numFmtId="0" fontId="67" fillId="0" borderId="166" xfId="38" quotePrefix="1" applyFont="1" applyFill="1" applyBorder="1" applyAlignment="1">
      <alignment horizontal="center" vertical="center"/>
    </xf>
    <xf numFmtId="0" fontId="67" fillId="0" borderId="167" xfId="38" applyFont="1" applyFill="1" applyBorder="1" applyAlignment="1" applyProtection="1">
      <alignment vertical="center" shrinkToFit="1"/>
      <protection locked="0"/>
    </xf>
    <xf numFmtId="180" fontId="15" fillId="0" borderId="168" xfId="38" applyNumberFormat="1" applyFill="1" applyBorder="1">
      <alignment vertical="center"/>
    </xf>
    <xf numFmtId="0" fontId="15" fillId="0" borderId="151" xfId="38" applyFont="1" applyFill="1" applyBorder="1" applyAlignment="1">
      <alignment horizontal="center" vertical="center"/>
    </xf>
    <xf numFmtId="0" fontId="15" fillId="0" borderId="152" xfId="38" applyFont="1" applyFill="1" applyBorder="1" applyAlignment="1">
      <alignment horizontal="center" vertical="center"/>
    </xf>
    <xf numFmtId="0" fontId="15" fillId="0" borderId="153" xfId="38" applyFont="1" applyFill="1" applyBorder="1" applyAlignment="1">
      <alignment horizontal="center" vertical="center"/>
    </xf>
    <xf numFmtId="180" fontId="15" fillId="0" borderId="154" xfId="38" applyNumberFormat="1" applyFont="1" applyFill="1" applyBorder="1" applyAlignment="1">
      <alignment horizontal="center" vertical="center"/>
    </xf>
    <xf numFmtId="180" fontId="15" fillId="0" borderId="155" xfId="38" applyNumberFormat="1" applyFont="1" applyFill="1" applyBorder="1" applyAlignment="1">
      <alignment horizontal="center" vertical="center"/>
    </xf>
    <xf numFmtId="0" fontId="16" fillId="0" borderId="156" xfId="38" applyFont="1" applyFill="1" applyBorder="1" applyAlignment="1">
      <alignment horizontal="center" vertical="center"/>
    </xf>
    <xf numFmtId="0" fontId="15" fillId="0" borderId="162" xfId="38" applyFill="1" applyBorder="1" applyAlignment="1">
      <alignment horizontal="center" vertical="center"/>
    </xf>
    <xf numFmtId="0" fontId="16" fillId="0" borderId="169" xfId="38" applyFont="1" applyFill="1" applyBorder="1" applyAlignment="1">
      <alignment horizontal="center" vertical="center"/>
    </xf>
    <xf numFmtId="0" fontId="15" fillId="0" borderId="54" xfId="38" applyFill="1" applyBorder="1" applyAlignment="1">
      <alignment vertical="center" shrinkToFit="1"/>
    </xf>
    <xf numFmtId="0" fontId="15" fillId="0" borderId="139" xfId="38" applyFill="1" applyBorder="1">
      <alignment vertical="center"/>
    </xf>
    <xf numFmtId="0" fontId="16" fillId="0" borderId="171" xfId="38" applyFont="1" applyFill="1" applyBorder="1" applyAlignment="1">
      <alignment horizontal="center" vertical="center"/>
    </xf>
    <xf numFmtId="0" fontId="15" fillId="0" borderId="170" xfId="38" applyFill="1" applyBorder="1" applyAlignment="1">
      <alignment vertical="center" shrinkToFit="1"/>
    </xf>
    <xf numFmtId="0" fontId="15" fillId="0" borderId="150" xfId="38" applyFill="1" applyBorder="1">
      <alignment vertical="center"/>
    </xf>
    <xf numFmtId="0" fontId="24" fillId="15" borderId="38" xfId="0" applyFont="1" applyFill="1" applyBorder="1">
      <alignment vertical="center"/>
    </xf>
    <xf numFmtId="0" fontId="5" fillId="0" borderId="38" xfId="0" applyFont="1" applyFill="1" applyBorder="1">
      <alignment vertical="center"/>
    </xf>
    <xf numFmtId="0" fontId="5" fillId="15" borderId="38" xfId="0" applyFont="1" applyFill="1" applyBorder="1">
      <alignment vertical="center"/>
    </xf>
    <xf numFmtId="0" fontId="5" fillId="16" borderId="33" xfId="0" applyFont="1" applyFill="1" applyBorder="1">
      <alignment vertical="center"/>
    </xf>
    <xf numFmtId="0" fontId="5" fillId="0" borderId="33" xfId="0" applyFont="1" applyFill="1" applyBorder="1">
      <alignment vertical="center"/>
    </xf>
    <xf numFmtId="0" fontId="5" fillId="0" borderId="34" xfId="0" applyFont="1" applyFill="1" applyBorder="1">
      <alignment vertical="center"/>
    </xf>
    <xf numFmtId="0" fontId="5" fillId="0" borderId="33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7" xfId="0" applyFont="1" applyBorder="1">
      <alignment vertical="center"/>
    </xf>
    <xf numFmtId="0" fontId="5" fillId="15" borderId="33" xfId="0" applyFont="1" applyFill="1" applyBorder="1">
      <alignment vertical="center"/>
    </xf>
    <xf numFmtId="0" fontId="24" fillId="15" borderId="0" xfId="0" quotePrefix="1" applyFont="1" applyFill="1">
      <alignment vertical="center"/>
    </xf>
    <xf numFmtId="0" fontId="24" fillId="16" borderId="0" xfId="0" quotePrefix="1" applyFont="1" applyFill="1">
      <alignment vertical="center"/>
    </xf>
    <xf numFmtId="0" fontId="24" fillId="17" borderId="0" xfId="0" quotePrefix="1" applyFont="1" applyFill="1">
      <alignment vertical="center"/>
    </xf>
    <xf numFmtId="0" fontId="5" fillId="0" borderId="37" xfId="0" applyFont="1" applyFill="1" applyBorder="1">
      <alignment vertical="center"/>
    </xf>
    <xf numFmtId="0" fontId="0" fillId="0" borderId="12" xfId="0" applyBorder="1">
      <alignment vertical="center"/>
    </xf>
    <xf numFmtId="0" fontId="37" fillId="0" borderId="72" xfId="0" applyFont="1" applyBorder="1">
      <alignment vertical="center"/>
    </xf>
    <xf numFmtId="0" fontId="37" fillId="0" borderId="172" xfId="0" applyFont="1" applyBorder="1">
      <alignment vertical="center"/>
    </xf>
    <xf numFmtId="0" fontId="37" fillId="0" borderId="173" xfId="0" applyFont="1" applyBorder="1">
      <alignment vertical="center"/>
    </xf>
    <xf numFmtId="0" fontId="37" fillId="0" borderId="174" xfId="0" applyFont="1" applyBorder="1">
      <alignment vertical="center"/>
    </xf>
    <xf numFmtId="0" fontId="37" fillId="0" borderId="175" xfId="0" applyFont="1" applyBorder="1">
      <alignment vertical="center"/>
    </xf>
    <xf numFmtId="0" fontId="5" fillId="0" borderId="176" xfId="0" applyFont="1" applyFill="1" applyBorder="1">
      <alignment vertical="center"/>
    </xf>
    <xf numFmtId="0" fontId="37" fillId="0" borderId="177" xfId="0" applyFont="1" applyFill="1" applyBorder="1">
      <alignment vertical="center"/>
    </xf>
    <xf numFmtId="0" fontId="5" fillId="17" borderId="178" xfId="0" applyFont="1" applyFill="1" applyBorder="1">
      <alignment vertical="center"/>
    </xf>
    <xf numFmtId="0" fontId="37" fillId="0" borderId="177" xfId="0" applyFont="1" applyBorder="1">
      <alignment vertical="center"/>
    </xf>
    <xf numFmtId="0" fontId="5" fillId="0" borderId="178" xfId="0" applyFont="1" applyFill="1" applyBorder="1">
      <alignment vertical="center"/>
    </xf>
    <xf numFmtId="0" fontId="5" fillId="0" borderId="178" xfId="0" applyFont="1" applyBorder="1">
      <alignment vertical="center"/>
    </xf>
    <xf numFmtId="0" fontId="36" fillId="0" borderId="178" xfId="0" applyFont="1" applyFill="1" applyBorder="1">
      <alignment vertical="center"/>
    </xf>
    <xf numFmtId="0" fontId="36" fillId="0" borderId="178" xfId="0" applyFont="1" applyBorder="1">
      <alignment vertical="center"/>
    </xf>
    <xf numFmtId="0" fontId="37" fillId="0" borderId="179" xfId="0" applyFont="1" applyFill="1" applyBorder="1">
      <alignment vertical="center"/>
    </xf>
    <xf numFmtId="0" fontId="0" fillId="0" borderId="180" xfId="0" applyFill="1" applyBorder="1">
      <alignment vertical="center"/>
    </xf>
    <xf numFmtId="0" fontId="0" fillId="0" borderId="181" xfId="0" applyFill="1" applyBorder="1">
      <alignment vertical="center"/>
    </xf>
    <xf numFmtId="0" fontId="0" fillId="0" borderId="182" xfId="0" applyBorder="1" applyAlignment="1">
      <alignment horizontal="center" vertical="center"/>
    </xf>
    <xf numFmtId="0" fontId="0" fillId="0" borderId="183" xfId="0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0" fillId="0" borderId="184" xfId="0" applyBorder="1" applyAlignment="1">
      <alignment horizontal="center" vertical="center"/>
    </xf>
    <xf numFmtId="0" fontId="0" fillId="0" borderId="177" xfId="0" applyBorder="1" applyAlignment="1">
      <alignment horizontal="center" vertical="center"/>
    </xf>
    <xf numFmtId="0" fontId="0" fillId="0" borderId="185" xfId="0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0" fillId="0" borderId="186" xfId="0" applyBorder="1" applyAlignment="1">
      <alignment horizontal="center" vertical="center"/>
    </xf>
    <xf numFmtId="0" fontId="0" fillId="0" borderId="188" xfId="0" applyBorder="1" applyAlignment="1">
      <alignment horizontal="center" vertical="center"/>
    </xf>
    <xf numFmtId="0" fontId="0" fillId="0" borderId="189" xfId="0" applyBorder="1" applyAlignment="1">
      <alignment horizontal="left" vertical="center"/>
    </xf>
    <xf numFmtId="0" fontId="0" fillId="0" borderId="190" xfId="0" applyBorder="1" applyAlignment="1">
      <alignment horizontal="center" vertical="center"/>
    </xf>
    <xf numFmtId="0" fontId="0" fillId="0" borderId="182" xfId="0" applyBorder="1">
      <alignment vertical="center"/>
    </xf>
    <xf numFmtId="0" fontId="0" fillId="0" borderId="183" xfId="0" applyBorder="1">
      <alignment vertical="center"/>
    </xf>
    <xf numFmtId="0" fontId="0" fillId="0" borderId="191" xfId="0" applyBorder="1" applyAlignment="1">
      <alignment horizontal="center" vertical="center"/>
    </xf>
    <xf numFmtId="0" fontId="0" fillId="0" borderId="192" xfId="0" applyBorder="1" applyAlignment="1">
      <alignment horizontal="center" vertical="center"/>
    </xf>
    <xf numFmtId="0" fontId="0" fillId="0" borderId="193" xfId="0" applyBorder="1" applyAlignment="1">
      <alignment horizontal="center" vertical="center"/>
    </xf>
    <xf numFmtId="0" fontId="0" fillId="0" borderId="194" xfId="0" applyBorder="1" applyAlignment="1">
      <alignment horizontal="center" vertical="center"/>
    </xf>
    <xf numFmtId="0" fontId="0" fillId="0" borderId="192" xfId="0" applyBorder="1">
      <alignment vertical="center"/>
    </xf>
    <xf numFmtId="0" fontId="0" fillId="0" borderId="187" xfId="0" applyBorder="1" applyAlignment="1">
      <alignment horizontal="center" vertical="center"/>
    </xf>
    <xf numFmtId="0" fontId="0" fillId="0" borderId="162" xfId="0" applyBorder="1">
      <alignment vertical="center"/>
    </xf>
    <xf numFmtId="0" fontId="0" fillId="0" borderId="184" xfId="0" applyBorder="1">
      <alignment vertical="center"/>
    </xf>
    <xf numFmtId="49" fontId="0" fillId="0" borderId="0" xfId="0" quotePrefix="1" applyNumberFormat="1">
      <alignment vertical="center"/>
    </xf>
    <xf numFmtId="49" fontId="37" fillId="0" borderId="0" xfId="0" applyNumberFormat="1" applyFont="1" applyFill="1" applyBorder="1" applyAlignment="1">
      <alignment horizontal="right" vertical="center"/>
    </xf>
    <xf numFmtId="49" fontId="24" fillId="0" borderId="0" xfId="0" quotePrefix="1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49" fontId="72" fillId="0" borderId="0" xfId="0" applyNumberFormat="1" applyFont="1" applyAlignment="1">
      <alignment horizontal="right" vertical="center"/>
    </xf>
    <xf numFmtId="0" fontId="1" fillId="0" borderId="38" xfId="0" applyFont="1" applyFill="1" applyBorder="1">
      <alignment vertical="center"/>
    </xf>
    <xf numFmtId="0" fontId="1" fillId="0" borderId="45" xfId="0" applyFont="1" applyFill="1" applyBorder="1">
      <alignment vertical="center"/>
    </xf>
    <xf numFmtId="0" fontId="1" fillId="0" borderId="37" xfId="0" applyFont="1" applyFill="1" applyBorder="1">
      <alignment vertical="center"/>
    </xf>
    <xf numFmtId="0" fontId="1" fillId="0" borderId="33" xfId="0" applyFont="1" applyFill="1" applyBorder="1">
      <alignment vertical="center"/>
    </xf>
    <xf numFmtId="0" fontId="0" fillId="0" borderId="33" xfId="0" applyFont="1" applyFill="1" applyBorder="1">
      <alignment vertical="center"/>
    </xf>
    <xf numFmtId="0" fontId="0" fillId="0" borderId="34" xfId="0" applyFont="1" applyFill="1" applyBorder="1">
      <alignment vertical="center"/>
    </xf>
    <xf numFmtId="0" fontId="0" fillId="0" borderId="35" xfId="0" applyFont="1" applyFill="1" applyBorder="1">
      <alignment vertical="center"/>
    </xf>
    <xf numFmtId="0" fontId="0" fillId="0" borderId="37" xfId="0" applyFont="1" applyFill="1" applyBorder="1">
      <alignment vertical="center"/>
    </xf>
    <xf numFmtId="0" fontId="1" fillId="0" borderId="34" xfId="0" applyFont="1" applyFill="1" applyBorder="1">
      <alignment vertical="center"/>
    </xf>
    <xf numFmtId="0" fontId="0" fillId="13" borderId="33" xfId="0" applyFont="1" applyFill="1" applyBorder="1">
      <alignment vertical="center"/>
    </xf>
    <xf numFmtId="0" fontId="1" fillId="13" borderId="33" xfId="0" applyFont="1" applyFill="1" applyBorder="1">
      <alignment vertical="center"/>
    </xf>
    <xf numFmtId="0" fontId="1" fillId="13" borderId="34" xfId="0" applyFont="1" applyFill="1" applyBorder="1">
      <alignment vertical="center"/>
    </xf>
    <xf numFmtId="0" fontId="0" fillId="0" borderId="46" xfId="0" applyFont="1" applyBorder="1">
      <alignment vertical="center"/>
    </xf>
    <xf numFmtId="0" fontId="0" fillId="0" borderId="46" xfId="0" applyFont="1" applyFill="1" applyBorder="1">
      <alignment vertical="center"/>
    </xf>
    <xf numFmtId="0" fontId="0" fillId="0" borderId="43" xfId="0" applyFont="1" applyFill="1" applyBorder="1">
      <alignment vertical="center"/>
    </xf>
    <xf numFmtId="0" fontId="5" fillId="0" borderId="35" xfId="0" applyFont="1" applyFill="1" applyBorder="1">
      <alignment vertical="center"/>
    </xf>
    <xf numFmtId="0" fontId="73" fillId="0" borderId="0" xfId="0" applyFont="1" applyAlignment="1">
      <alignment horizontal="right" vertical="center"/>
    </xf>
    <xf numFmtId="0" fontId="0" fillId="18" borderId="0" xfId="0" applyFill="1">
      <alignment vertical="center"/>
    </xf>
    <xf numFmtId="0" fontId="24" fillId="0" borderId="28" xfId="0" applyFont="1" applyFill="1" applyBorder="1">
      <alignment vertical="center"/>
    </xf>
    <xf numFmtId="20" fontId="0" fillId="0" borderId="30" xfId="0" applyNumberFormat="1" applyFill="1" applyBorder="1">
      <alignment vertical="center"/>
    </xf>
    <xf numFmtId="0" fontId="0" fillId="0" borderId="31" xfId="0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49" fontId="15" fillId="0" borderId="27" xfId="22" applyNumberFormat="1" applyFont="1" applyFill="1" applyBorder="1" applyAlignment="1">
      <alignment horizontal="center" vertical="center" shrinkToFit="1"/>
    </xf>
    <xf numFmtId="0" fontId="24" fillId="0" borderId="20" xfId="0" applyFont="1" applyFill="1" applyBorder="1">
      <alignment vertical="center"/>
    </xf>
    <xf numFmtId="20" fontId="0" fillId="0" borderId="22" xfId="0" applyNumberFormat="1" applyFill="1" applyBorder="1">
      <alignment vertical="center"/>
    </xf>
    <xf numFmtId="0" fontId="0" fillId="0" borderId="20" xfId="0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15" fillId="0" borderId="22" xfId="22" applyNumberFormat="1" applyFont="1" applyFill="1" applyBorder="1" applyAlignment="1">
      <alignment horizontal="center" vertical="center" shrinkToFit="1"/>
    </xf>
    <xf numFmtId="0" fontId="24" fillId="0" borderId="23" xfId="0" applyFont="1" applyFill="1" applyBorder="1">
      <alignment vertical="center"/>
    </xf>
    <xf numFmtId="20" fontId="0" fillId="0" borderId="25" xfId="0" applyNumberFormat="1" applyFill="1" applyBorder="1">
      <alignment vertical="center"/>
    </xf>
    <xf numFmtId="0" fontId="0" fillId="0" borderId="23" xfId="0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9" fontId="15" fillId="0" borderId="25" xfId="22" applyNumberFormat="1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49" fontId="15" fillId="0" borderId="30" xfId="22" applyNumberFormat="1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49" fontId="2" fillId="0" borderId="30" xfId="22" applyNumberFormat="1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49" fontId="2" fillId="0" borderId="25" xfId="22" applyNumberFormat="1" applyFont="1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180" fontId="15" fillId="0" borderId="195" xfId="38" applyNumberFormat="1" applyFill="1" applyBorder="1">
      <alignment vertical="center"/>
    </xf>
    <xf numFmtId="0" fontId="15" fillId="0" borderId="196" xfId="38" applyFont="1" applyFill="1" applyBorder="1" applyAlignment="1">
      <alignment horizontal="center" vertical="center" shrinkToFit="1"/>
    </xf>
    <xf numFmtId="0" fontId="15" fillId="0" borderId="197" xfId="38" applyFont="1" applyFill="1" applyBorder="1" applyAlignment="1">
      <alignment vertical="center" shrinkToFit="1"/>
    </xf>
    <xf numFmtId="180" fontId="15" fillId="0" borderId="198" xfId="38" applyNumberFormat="1" applyFont="1" applyFill="1" applyBorder="1" applyAlignment="1">
      <alignment horizontal="center" vertical="center"/>
    </xf>
    <xf numFmtId="180" fontId="15" fillId="0" borderId="158" xfId="38" applyNumberFormat="1" applyFont="1" applyFill="1" applyBorder="1" applyAlignment="1">
      <alignment horizontal="center" vertical="center"/>
    </xf>
    <xf numFmtId="180" fontId="15" fillId="0" borderId="199" xfId="38" applyNumberFormat="1" applyFont="1" applyFill="1" applyBorder="1" applyAlignment="1">
      <alignment horizontal="center" vertical="center"/>
    </xf>
    <xf numFmtId="180" fontId="15" fillId="0" borderId="159" xfId="38" applyNumberFormat="1" applyFont="1" applyFill="1" applyBorder="1" applyAlignment="1">
      <alignment horizontal="center" vertical="center"/>
    </xf>
    <xf numFmtId="180" fontId="15" fillId="0" borderId="7" xfId="38" applyNumberFormat="1" applyFont="1" applyFill="1" applyBorder="1">
      <alignment vertical="center"/>
    </xf>
    <xf numFmtId="180" fontId="15" fillId="0" borderId="16" xfId="38" applyNumberFormat="1" applyFont="1" applyFill="1" applyBorder="1">
      <alignment vertical="center"/>
    </xf>
    <xf numFmtId="180" fontId="15" fillId="0" borderId="11" xfId="38" applyNumberFormat="1" applyFont="1" applyFill="1" applyBorder="1">
      <alignment vertical="center"/>
    </xf>
    <xf numFmtId="180" fontId="15" fillId="0" borderId="44" xfId="38" applyNumberFormat="1" applyFont="1" applyFill="1" applyBorder="1">
      <alignment vertical="center"/>
    </xf>
    <xf numFmtId="180" fontId="15" fillId="0" borderId="116" xfId="38" applyNumberFormat="1" applyFont="1" applyFill="1" applyBorder="1">
      <alignment vertical="center"/>
    </xf>
    <xf numFmtId="0" fontId="18" fillId="0" borderId="2" xfId="37" applyFont="1" applyBorder="1" applyAlignment="1">
      <alignment horizontal="center" vertical="center" shrinkToFit="1"/>
    </xf>
    <xf numFmtId="49" fontId="15" fillId="0" borderId="22" xfId="22" applyNumberFormat="1" applyFont="1" applyFill="1" applyBorder="1" applyAlignment="1">
      <alignment horizontal="center" vertical="center" shrinkToFit="1"/>
    </xf>
    <xf numFmtId="0" fontId="76" fillId="0" borderId="0" xfId="0" applyFont="1">
      <alignment vertical="center"/>
    </xf>
    <xf numFmtId="0" fontId="0" fillId="19" borderId="0" xfId="0" applyFill="1">
      <alignment vertical="center"/>
    </xf>
    <xf numFmtId="20" fontId="0" fillId="19" borderId="0" xfId="0" applyNumberFormat="1" applyFill="1">
      <alignment vertical="center"/>
    </xf>
    <xf numFmtId="0" fontId="0" fillId="15" borderId="0" xfId="0" applyFill="1">
      <alignment vertical="center"/>
    </xf>
    <xf numFmtId="20" fontId="0" fillId="15" borderId="0" xfId="0" applyNumberFormat="1" applyFill="1">
      <alignment vertical="center"/>
    </xf>
    <xf numFmtId="0" fontId="48" fillId="0" borderId="0" xfId="0" applyFont="1" applyFill="1" applyAlignment="1"/>
    <xf numFmtId="0" fontId="53" fillId="0" borderId="0" xfId="0" applyFont="1" applyFill="1" applyBorder="1" applyAlignment="1"/>
    <xf numFmtId="0" fontId="77" fillId="0" borderId="0" xfId="0" applyFont="1" applyFill="1" applyAlignment="1">
      <alignment vertical="center"/>
    </xf>
    <xf numFmtId="0" fontId="78" fillId="0" borderId="0" xfId="0" applyFont="1" applyFill="1" applyBorder="1" applyAlignment="1">
      <alignment vertical="center"/>
    </xf>
    <xf numFmtId="49" fontId="75" fillId="0" borderId="27" xfId="22" applyNumberFormat="1" applyFont="1" applyFill="1" applyBorder="1" applyAlignment="1">
      <alignment horizontal="center" vertical="center" shrinkToFit="1"/>
    </xf>
    <xf numFmtId="0" fontId="24" fillId="0" borderId="3" xfId="0" applyFont="1" applyFill="1" applyBorder="1">
      <alignment vertical="center"/>
    </xf>
    <xf numFmtId="20" fontId="0" fillId="0" borderId="3" xfId="0" applyNumberForma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49" fontId="15" fillId="0" borderId="3" xfId="22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>
      <alignment vertical="center"/>
    </xf>
    <xf numFmtId="20" fontId="0" fillId="0" borderId="0" xfId="0" applyNumberForma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15" fillId="0" borderId="0" xfId="22" applyNumberFormat="1" applyFont="1" applyFill="1" applyBorder="1" applyAlignment="1">
      <alignment horizontal="center" vertical="center" shrinkToFit="1"/>
    </xf>
    <xf numFmtId="0" fontId="40" fillId="0" borderId="11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82" fillId="0" borderId="28" xfId="0" applyFont="1" applyFill="1" applyBorder="1" applyAlignment="1">
      <alignment horizontal="center" vertical="center"/>
    </xf>
    <xf numFmtId="0" fontId="82" fillId="0" borderId="29" xfId="0" applyFont="1" applyFill="1" applyBorder="1" applyAlignment="1">
      <alignment horizontal="center" vertical="center"/>
    </xf>
    <xf numFmtId="0" fontId="82" fillId="0" borderId="30" xfId="0" applyFont="1" applyFill="1" applyBorder="1" applyAlignment="1">
      <alignment horizontal="center" vertical="center"/>
    </xf>
    <xf numFmtId="49" fontId="81" fillId="0" borderId="30" xfId="22" applyNumberFormat="1" applyFont="1" applyFill="1" applyBorder="1" applyAlignment="1">
      <alignment horizontal="center" vertical="center" shrinkToFit="1"/>
    </xf>
    <xf numFmtId="0" fontId="82" fillId="0" borderId="20" xfId="0" applyFont="1" applyFill="1" applyBorder="1" applyAlignment="1">
      <alignment horizontal="center" vertical="center"/>
    </xf>
    <xf numFmtId="0" fontId="82" fillId="0" borderId="21" xfId="0" applyFont="1" applyFill="1" applyBorder="1" applyAlignment="1">
      <alignment horizontal="center" vertical="center"/>
    </xf>
    <xf numFmtId="0" fontId="82" fillId="0" borderId="22" xfId="0" applyFont="1" applyFill="1" applyBorder="1" applyAlignment="1">
      <alignment horizontal="center" vertical="center"/>
    </xf>
    <xf numFmtId="49" fontId="81" fillId="0" borderId="22" xfId="22" applyNumberFormat="1" applyFont="1" applyFill="1" applyBorder="1" applyAlignment="1">
      <alignment horizontal="center" vertical="center" shrinkToFit="1"/>
    </xf>
    <xf numFmtId="0" fontId="82" fillId="0" borderId="23" xfId="0" applyFont="1" applyFill="1" applyBorder="1" applyAlignment="1">
      <alignment horizontal="center" vertical="center"/>
    </xf>
    <xf numFmtId="0" fontId="82" fillId="0" borderId="24" xfId="0" applyFont="1" applyFill="1" applyBorder="1" applyAlignment="1">
      <alignment horizontal="center" vertical="center"/>
    </xf>
    <xf numFmtId="0" fontId="82" fillId="0" borderId="25" xfId="0" applyFont="1" applyFill="1" applyBorder="1" applyAlignment="1">
      <alignment horizontal="center" vertical="center"/>
    </xf>
    <xf numFmtId="49" fontId="81" fillId="0" borderId="25" xfId="22" applyNumberFormat="1" applyFont="1" applyFill="1" applyBorder="1" applyAlignment="1">
      <alignment horizontal="center" vertical="center" shrinkToFit="1"/>
    </xf>
    <xf numFmtId="49" fontId="79" fillId="0" borderId="22" xfId="22" applyNumberFormat="1" applyFont="1" applyFill="1" applyBorder="1" applyAlignment="1">
      <alignment horizontal="center" vertical="center" shrinkToFit="1"/>
    </xf>
    <xf numFmtId="0" fontId="17" fillId="0" borderId="0" xfId="37" applyFont="1" applyAlignment="1">
      <alignment horizontal="center" vertical="center"/>
    </xf>
    <xf numFmtId="0" fontId="17" fillId="0" borderId="0" xfId="37" applyFont="1" applyAlignment="1">
      <alignment horizontal="center"/>
    </xf>
    <xf numFmtId="0" fontId="18" fillId="0" borderId="47" xfId="37" applyFont="1" applyBorder="1" applyAlignment="1">
      <alignment horizontal="center" shrinkToFit="1"/>
    </xf>
    <xf numFmtId="0" fontId="18" fillId="0" borderId="48" xfId="37" applyFont="1" applyBorder="1" applyAlignment="1">
      <alignment horizontal="center" shrinkToFit="1"/>
    </xf>
    <xf numFmtId="0" fontId="18" fillId="0" borderId="49" xfId="37" applyFont="1" applyBorder="1" applyAlignment="1">
      <alignment horizontal="center" shrinkToFit="1"/>
    </xf>
    <xf numFmtId="0" fontId="18" fillId="0" borderId="50" xfId="37" applyFont="1" applyBorder="1" applyAlignment="1">
      <alignment horizontal="center" shrinkToFit="1"/>
    </xf>
    <xf numFmtId="0" fontId="69" fillId="0" borderId="49" xfId="21" applyBorder="1" applyAlignment="1">
      <alignment horizontal="center" vertical="center"/>
    </xf>
    <xf numFmtId="0" fontId="69" fillId="0" borderId="50" xfId="21" applyBorder="1" applyAlignment="1">
      <alignment horizontal="center" vertical="center"/>
    </xf>
    <xf numFmtId="0" fontId="69" fillId="0" borderId="51" xfId="21" applyBorder="1" applyAlignment="1">
      <alignment horizontal="center" vertical="center"/>
    </xf>
    <xf numFmtId="0" fontId="69" fillId="0" borderId="52" xfId="21" applyBorder="1" applyAlignment="1">
      <alignment horizontal="center" vertical="center"/>
    </xf>
    <xf numFmtId="0" fontId="19" fillId="0" borderId="14" xfId="37" applyFont="1" applyBorder="1" applyAlignment="1">
      <alignment horizontal="center" vertical="center" wrapText="1" shrinkToFit="1"/>
    </xf>
    <xf numFmtId="0" fontId="19" fillId="0" borderId="14" xfId="37" applyFont="1" applyBorder="1" applyAlignment="1">
      <alignment horizontal="center" vertical="center" shrinkToFit="1"/>
    </xf>
    <xf numFmtId="0" fontId="18" fillId="0" borderId="14" xfId="37" applyFont="1" applyBorder="1" applyAlignment="1">
      <alignment horizontal="center" vertical="center" shrinkToFit="1"/>
    </xf>
    <xf numFmtId="0" fontId="2" fillId="0" borderId="9" xfId="22" applyBorder="1" applyAlignment="1">
      <alignment horizontal="center" vertical="center" shrinkToFit="1"/>
    </xf>
    <xf numFmtId="0" fontId="19" fillId="0" borderId="10" xfId="37" applyFont="1" applyBorder="1" applyAlignment="1">
      <alignment horizontal="center" vertical="center" wrapText="1" shrinkToFit="1"/>
    </xf>
    <xf numFmtId="0" fontId="19" fillId="0" borderId="11" xfId="37" applyFont="1" applyBorder="1" applyAlignment="1">
      <alignment horizontal="center" vertical="center" wrapText="1" shrinkToFit="1"/>
    </xf>
    <xf numFmtId="0" fontId="69" fillId="0" borderId="4" xfId="21" applyBorder="1" applyAlignment="1">
      <alignment horizontal="center" vertical="center"/>
    </xf>
    <xf numFmtId="0" fontId="69" fillId="0" borderId="6" xfId="21" applyBorder="1" applyAlignment="1">
      <alignment horizontal="center" vertical="center"/>
    </xf>
    <xf numFmtId="0" fontId="69" fillId="0" borderId="16" xfId="21" applyBorder="1" applyAlignment="1">
      <alignment horizontal="center" vertical="center"/>
    </xf>
    <xf numFmtId="0" fontId="18" fillId="0" borderId="4" xfId="37" applyFont="1" applyBorder="1" applyAlignment="1">
      <alignment horizontal="distributed" vertical="center"/>
    </xf>
    <xf numFmtId="0" fontId="18" fillId="0" borderId="6" xfId="37" applyFont="1" applyBorder="1" applyAlignment="1">
      <alignment horizontal="distributed" vertical="center"/>
    </xf>
    <xf numFmtId="0" fontId="69" fillId="0" borderId="6" xfId="21" applyBorder="1" applyAlignment="1">
      <alignment horizontal="distributed" vertical="center"/>
    </xf>
    <xf numFmtId="0" fontId="69" fillId="0" borderId="16" xfId="21" applyBorder="1" applyAlignment="1">
      <alignment horizontal="distributed" vertical="center"/>
    </xf>
    <xf numFmtId="0" fontId="18" fillId="0" borderId="4" xfId="37" applyFont="1" applyBorder="1" applyAlignment="1">
      <alignment horizontal="center" vertical="center" shrinkToFit="1"/>
    </xf>
    <xf numFmtId="0" fontId="18" fillId="0" borderId="6" xfId="37" applyFont="1" applyBorder="1" applyAlignment="1">
      <alignment horizontal="center" vertical="center" shrinkToFit="1"/>
    </xf>
    <xf numFmtId="0" fontId="69" fillId="0" borderId="6" xfId="21" applyBorder="1" applyAlignment="1">
      <alignment horizontal="center" vertical="center" shrinkToFit="1"/>
    </xf>
    <xf numFmtId="0" fontId="69" fillId="0" borderId="16" xfId="21" applyBorder="1" applyAlignment="1">
      <alignment horizontal="center" vertical="center" shrinkToFit="1"/>
    </xf>
    <xf numFmtId="0" fontId="18" fillId="0" borderId="2" xfId="37" applyFont="1" applyBorder="1" applyAlignment="1">
      <alignment horizontal="center" vertical="center" shrinkToFit="1"/>
    </xf>
    <xf numFmtId="0" fontId="18" fillId="0" borderId="3" xfId="37" applyFont="1" applyBorder="1" applyAlignment="1">
      <alignment horizontal="center" vertical="center" shrinkToFit="1"/>
    </xf>
    <xf numFmtId="0" fontId="2" fillId="0" borderId="3" xfId="22" applyBorder="1" applyAlignment="1">
      <alignment horizontal="center" vertical="center" shrinkToFit="1"/>
    </xf>
    <xf numFmtId="0" fontId="2" fillId="0" borderId="15" xfId="22" applyBorder="1" applyAlignment="1">
      <alignment horizontal="center" vertical="center" shrinkToFit="1"/>
    </xf>
    <xf numFmtId="0" fontId="17" fillId="0" borderId="12" xfId="37" applyFont="1" applyBorder="1" applyAlignment="1">
      <alignment horizontal="center" vertical="center" wrapText="1"/>
    </xf>
    <xf numFmtId="0" fontId="17" fillId="0" borderId="12" xfId="37" applyFont="1" applyBorder="1" applyAlignment="1">
      <alignment horizontal="center" vertical="center"/>
    </xf>
    <xf numFmtId="0" fontId="31" fillId="0" borderId="12" xfId="37" applyFont="1" applyBorder="1" applyAlignment="1">
      <alignment horizontal="center" vertical="center" shrinkToFit="1"/>
    </xf>
    <xf numFmtId="0" fontId="31" fillId="0" borderId="9" xfId="37" applyFont="1" applyBorder="1" applyAlignment="1">
      <alignment horizontal="center" vertical="center" shrinkToFit="1"/>
    </xf>
    <xf numFmtId="0" fontId="31" fillId="0" borderId="14" xfId="37" applyFont="1" applyBorder="1" applyAlignment="1">
      <alignment horizontal="center" vertical="center" shrinkToFit="1"/>
    </xf>
    <xf numFmtId="0" fontId="31" fillId="0" borderId="17" xfId="37" applyFont="1" applyBorder="1" applyAlignment="1">
      <alignment horizontal="center" vertical="center" shrinkToFit="1"/>
    </xf>
    <xf numFmtId="0" fontId="31" fillId="0" borderId="0" xfId="37" applyFont="1" applyAlignment="1">
      <alignment horizontal="center" vertical="center" shrinkToFit="1"/>
    </xf>
    <xf numFmtId="0" fontId="31" fillId="0" borderId="2" xfId="37" applyFont="1" applyBorder="1" applyAlignment="1">
      <alignment horizontal="center" vertical="center" shrinkToFit="1"/>
    </xf>
    <xf numFmtId="0" fontId="31" fillId="0" borderId="3" xfId="37" applyFont="1" applyBorder="1" applyAlignment="1">
      <alignment horizontal="center" vertical="center" shrinkToFit="1"/>
    </xf>
    <xf numFmtId="0" fontId="31" fillId="0" borderId="53" xfId="37" applyFont="1" applyBorder="1" applyAlignment="1">
      <alignment horizontal="center" vertical="center" shrinkToFit="1"/>
    </xf>
    <xf numFmtId="0" fontId="20" fillId="14" borderId="10" xfId="37" applyFont="1" applyFill="1" applyBorder="1" applyAlignment="1">
      <alignment horizontal="center" vertical="center" shrinkToFit="1"/>
    </xf>
    <xf numFmtId="0" fontId="20" fillId="14" borderId="44" xfId="37" applyFont="1" applyFill="1" applyBorder="1" applyAlignment="1">
      <alignment horizontal="center" vertical="center" shrinkToFit="1"/>
    </xf>
    <xf numFmtId="0" fontId="18" fillId="0" borderId="12" xfId="37" applyFont="1" applyBorder="1" applyAlignment="1">
      <alignment horizontal="center" vertical="center"/>
    </xf>
    <xf numFmtId="0" fontId="18" fillId="0" borderId="14" xfId="37" applyFont="1" applyBorder="1" applyAlignment="1">
      <alignment horizontal="center" vertical="center"/>
    </xf>
    <xf numFmtId="0" fontId="17" fillId="0" borderId="9" xfId="37" applyFont="1" applyBorder="1" applyAlignment="1">
      <alignment horizontal="center" vertical="center" wrapText="1"/>
    </xf>
    <xf numFmtId="0" fontId="17" fillId="0" borderId="9" xfId="37" applyFont="1" applyBorder="1" applyAlignment="1">
      <alignment horizontal="center" vertical="center"/>
    </xf>
    <xf numFmtId="0" fontId="17" fillId="0" borderId="19" xfId="37" applyFont="1" applyBorder="1" applyAlignment="1">
      <alignment horizontal="center" vertical="center" wrapText="1"/>
    </xf>
    <xf numFmtId="0" fontId="17" fillId="0" borderId="19" xfId="37" applyFont="1" applyBorder="1" applyAlignment="1">
      <alignment horizontal="center" vertical="center"/>
    </xf>
    <xf numFmtId="0" fontId="31" fillId="0" borderId="19" xfId="37" applyFont="1" applyBorder="1" applyAlignment="1">
      <alignment horizontal="center" vertical="center" shrinkToFit="1"/>
    </xf>
    <xf numFmtId="178" fontId="41" fillId="0" borderId="12" xfId="22" applyNumberFormat="1" applyFont="1" applyBorder="1" applyAlignment="1">
      <alignment horizontal="center" vertical="center"/>
    </xf>
    <xf numFmtId="0" fontId="41" fillId="0" borderId="12" xfId="22" applyFont="1" applyBorder="1" applyAlignment="1">
      <alignment horizontal="center" vertical="center"/>
    </xf>
    <xf numFmtId="0" fontId="41" fillId="0" borderId="14" xfId="22" applyFont="1" applyBorder="1" applyAlignment="1">
      <alignment horizontal="center" vertical="center"/>
    </xf>
    <xf numFmtId="0" fontId="20" fillId="0" borderId="4" xfId="37" applyFont="1" applyBorder="1" applyAlignment="1">
      <alignment horizontal="center" vertical="center"/>
    </xf>
    <xf numFmtId="0" fontId="20" fillId="0" borderId="2" xfId="37" applyFont="1" applyBorder="1" applyAlignment="1">
      <alignment horizontal="center" vertical="center"/>
    </xf>
    <xf numFmtId="0" fontId="18" fillId="0" borderId="9" xfId="37" applyFont="1" applyBorder="1" applyAlignment="1">
      <alignment horizontal="center" vertical="center"/>
    </xf>
    <xf numFmtId="0" fontId="18" fillId="0" borderId="4" xfId="37" applyFont="1" applyBorder="1" applyAlignment="1">
      <alignment horizontal="center" vertical="center"/>
    </xf>
    <xf numFmtId="178" fontId="29" fillId="0" borderId="9" xfId="22" applyNumberFormat="1" applyFont="1" applyBorder="1" applyAlignment="1">
      <alignment horizontal="center" vertical="center"/>
    </xf>
    <xf numFmtId="178" fontId="29" fillId="0" borderId="12" xfId="22" applyNumberFormat="1" applyFont="1" applyBorder="1" applyAlignment="1">
      <alignment horizontal="center" vertical="center"/>
    </xf>
    <xf numFmtId="0" fontId="41" fillId="0" borderId="9" xfId="22" applyFont="1" applyBorder="1" applyAlignment="1">
      <alignment horizontal="center" vertical="center"/>
    </xf>
    <xf numFmtId="178" fontId="29" fillId="0" borderId="14" xfId="22" applyNumberFormat="1" applyFont="1" applyBorder="1" applyAlignment="1">
      <alignment horizontal="center" vertical="center"/>
    </xf>
    <xf numFmtId="49" fontId="20" fillId="0" borderId="4" xfId="37" applyNumberFormat="1" applyFont="1" applyBorder="1" applyAlignment="1">
      <alignment horizontal="center" vertical="center" shrinkToFit="1"/>
    </xf>
    <xf numFmtId="49" fontId="20" fillId="0" borderId="16" xfId="21" applyNumberFormat="1" applyFont="1" applyBorder="1" applyAlignment="1">
      <alignment vertical="center" shrinkToFit="1"/>
    </xf>
    <xf numFmtId="0" fontId="3" fillId="0" borderId="4" xfId="37" applyFont="1" applyBorder="1" applyAlignment="1">
      <alignment horizontal="center" vertical="center" shrinkToFit="1"/>
    </xf>
    <xf numFmtId="0" fontId="34" fillId="0" borderId="16" xfId="21" applyFont="1" applyBorder="1" applyAlignment="1">
      <alignment vertical="center" shrinkToFit="1"/>
    </xf>
    <xf numFmtId="0" fontId="3" fillId="0" borderId="4" xfId="37" applyFont="1" applyBorder="1" applyAlignment="1">
      <alignment horizontal="center" vertical="center" wrapText="1" justifyLastLine="1"/>
    </xf>
    <xf numFmtId="0" fontId="3" fillId="0" borderId="6" xfId="37" applyFont="1" applyBorder="1" applyAlignment="1">
      <alignment horizontal="center" vertical="center" wrapText="1" justifyLastLine="1"/>
    </xf>
    <xf numFmtId="0" fontId="3" fillId="0" borderId="16" xfId="37" applyFont="1" applyBorder="1" applyAlignment="1">
      <alignment horizontal="center" vertical="center" wrapText="1" justifyLastLine="1"/>
    </xf>
    <xf numFmtId="0" fontId="3" fillId="0" borderId="6" xfId="37" applyFont="1" applyBorder="1" applyAlignment="1">
      <alignment vertical="center" wrapText="1"/>
    </xf>
    <xf numFmtId="0" fontId="3" fillId="0" borderId="6" xfId="37" applyFont="1" applyBorder="1" applyAlignment="1"/>
    <xf numFmtId="49" fontId="20" fillId="0" borderId="2" xfId="37" applyNumberFormat="1" applyFont="1" applyBorder="1" applyAlignment="1">
      <alignment vertical="center" wrapText="1"/>
    </xf>
    <xf numFmtId="49" fontId="20" fillId="0" borderId="3" xfId="37" applyNumberFormat="1" applyFont="1" applyBorder="1" applyAlignment="1">
      <alignment vertical="center" wrapText="1"/>
    </xf>
    <xf numFmtId="49" fontId="20" fillId="0" borderId="17" xfId="37" applyNumberFormat="1" applyFont="1" applyBorder="1" applyAlignment="1">
      <alignment vertical="center" wrapText="1"/>
    </xf>
    <xf numFmtId="49" fontId="20" fillId="0" borderId="0" xfId="37" applyNumberFormat="1" applyFont="1" applyAlignment="1">
      <alignment vertical="center" wrapText="1"/>
    </xf>
    <xf numFmtId="49" fontId="20" fillId="0" borderId="10" xfId="37" applyNumberFormat="1" applyFont="1" applyBorder="1" applyAlignment="1">
      <alignment vertical="center" wrapText="1"/>
    </xf>
    <xf numFmtId="49" fontId="20" fillId="0" borderId="11" xfId="37" applyNumberFormat="1" applyFont="1" applyBorder="1" applyAlignment="1">
      <alignment vertical="center" wrapText="1"/>
    </xf>
    <xf numFmtId="0" fontId="4" fillId="0" borderId="16" xfId="21" applyFont="1" applyBorder="1" applyAlignment="1">
      <alignment vertical="center" shrinkToFit="1"/>
    </xf>
    <xf numFmtId="49" fontId="42" fillId="0" borderId="2" xfId="37" applyNumberFormat="1" applyFont="1" applyBorder="1" applyAlignment="1">
      <alignment horizontal="center" vertical="center" shrinkToFit="1"/>
    </xf>
    <xf numFmtId="49" fontId="42" fillId="0" borderId="15" xfId="37" applyNumberFormat="1" applyFont="1" applyBorder="1" applyAlignment="1">
      <alignment horizontal="center" vertical="center" shrinkToFit="1"/>
    </xf>
    <xf numFmtId="49" fontId="42" fillId="0" borderId="10" xfId="37" applyNumberFormat="1" applyFont="1" applyBorder="1" applyAlignment="1">
      <alignment horizontal="center" vertical="center" shrinkToFit="1"/>
    </xf>
    <xf numFmtId="49" fontId="42" fillId="0" borderId="44" xfId="37" applyNumberFormat="1" applyFont="1" applyBorder="1" applyAlignment="1">
      <alignment horizontal="center" vertical="center" shrinkToFit="1"/>
    </xf>
    <xf numFmtId="49" fontId="20" fillId="0" borderId="4" xfId="37" applyNumberFormat="1" applyFont="1" applyBorder="1" applyAlignment="1">
      <alignment horizontal="center" vertical="center" wrapText="1" justifyLastLine="1"/>
    </xf>
    <xf numFmtId="49" fontId="18" fillId="0" borderId="3" xfId="21" applyNumberFormat="1" applyFont="1" applyBorder="1">
      <alignment vertical="center"/>
    </xf>
    <xf numFmtId="49" fontId="18" fillId="0" borderId="15" xfId="21" applyNumberFormat="1" applyFont="1" applyBorder="1">
      <alignment vertical="center"/>
    </xf>
    <xf numFmtId="49" fontId="18" fillId="0" borderId="17" xfId="21" applyNumberFormat="1" applyFont="1" applyBorder="1">
      <alignment vertical="center"/>
    </xf>
    <xf numFmtId="49" fontId="18" fillId="0" borderId="0" xfId="21" applyNumberFormat="1" applyFont="1">
      <alignment vertical="center"/>
    </xf>
    <xf numFmtId="49" fontId="18" fillId="0" borderId="32" xfId="21" applyNumberFormat="1" applyFont="1" applyBorder="1">
      <alignment vertical="center"/>
    </xf>
    <xf numFmtId="49" fontId="18" fillId="0" borderId="10" xfId="21" applyNumberFormat="1" applyFont="1" applyBorder="1">
      <alignment vertical="center"/>
    </xf>
    <xf numFmtId="49" fontId="18" fillId="0" borderId="11" xfId="21" applyNumberFormat="1" applyFont="1" applyBorder="1">
      <alignment vertical="center"/>
    </xf>
    <xf numFmtId="49" fontId="18" fillId="0" borderId="44" xfId="21" applyNumberFormat="1" applyFont="1" applyBorder="1">
      <alignment vertical="center"/>
    </xf>
    <xf numFmtId="0" fontId="20" fillId="0" borderId="4" xfId="37" applyFont="1" applyBorder="1" applyAlignment="1">
      <alignment horizontal="center" vertical="center" textRotation="255"/>
    </xf>
    <xf numFmtId="0" fontId="18" fillId="0" borderId="0" xfId="37" applyFont="1"/>
    <xf numFmtId="0" fontId="3" fillId="0" borderId="16" xfId="37" applyFont="1" applyBorder="1" applyAlignment="1">
      <alignment horizontal="center" vertical="center" shrinkToFit="1"/>
    </xf>
    <xf numFmtId="0" fontId="3" fillId="0" borderId="4" xfId="37" applyFont="1" applyBorder="1" applyAlignment="1">
      <alignment horizontal="center" vertical="center" wrapText="1" shrinkToFit="1"/>
    </xf>
    <xf numFmtId="0" fontId="3" fillId="0" borderId="6" xfId="37" applyFont="1" applyBorder="1" applyAlignment="1">
      <alignment horizontal="center" vertical="center" shrinkToFit="1"/>
    </xf>
    <xf numFmtId="0" fontId="3" fillId="0" borderId="2" xfId="37" applyFont="1" applyBorder="1" applyAlignment="1">
      <alignment horizontal="center" vertical="center" wrapText="1" shrinkToFit="1"/>
    </xf>
    <xf numFmtId="0" fontId="3" fillId="0" borderId="3" xfId="37" applyFont="1" applyBorder="1" applyAlignment="1">
      <alignment horizontal="center" vertical="center" wrapText="1" shrinkToFit="1"/>
    </xf>
    <xf numFmtId="0" fontId="3" fillId="0" borderId="17" xfId="37" applyFont="1" applyBorder="1" applyAlignment="1">
      <alignment horizontal="center" vertical="center" wrapText="1" shrinkToFit="1"/>
    </xf>
    <xf numFmtId="0" fontId="3" fillId="0" borderId="0" xfId="37" applyFont="1" applyBorder="1" applyAlignment="1">
      <alignment horizontal="center" vertical="center" wrapText="1" shrinkToFit="1"/>
    </xf>
    <xf numFmtId="0" fontId="3" fillId="0" borderId="10" xfId="37" applyFont="1" applyBorder="1" applyAlignment="1">
      <alignment horizontal="center" vertical="center" wrapText="1" shrinkToFit="1"/>
    </xf>
    <xf numFmtId="0" fontId="3" fillId="0" borderId="11" xfId="37" applyFont="1" applyBorder="1" applyAlignment="1">
      <alignment horizontal="center" vertical="center" wrapText="1" shrinkToFit="1"/>
    </xf>
    <xf numFmtId="49" fontId="20" fillId="0" borderId="6" xfId="37" applyNumberFormat="1" applyFont="1" applyBorder="1" applyAlignment="1">
      <alignment vertical="center" wrapText="1"/>
    </xf>
    <xf numFmtId="49" fontId="20" fillId="0" borderId="6" xfId="37" applyNumberFormat="1" applyFont="1" applyBorder="1"/>
    <xf numFmtId="49" fontId="20" fillId="0" borderId="2" xfId="37" applyNumberFormat="1" applyFont="1" applyBorder="1" applyAlignment="1">
      <alignment horizontal="center" vertical="center" wrapText="1" justifyLastLine="1"/>
    </xf>
    <xf numFmtId="49" fontId="20" fillId="0" borderId="3" xfId="37" applyNumberFormat="1" applyFont="1" applyBorder="1" applyAlignment="1">
      <alignment horizontal="center" vertical="center" wrapText="1" justifyLastLine="1"/>
    </xf>
    <xf numFmtId="49" fontId="20" fillId="0" borderId="17" xfId="37" applyNumberFormat="1" applyFont="1" applyBorder="1" applyAlignment="1">
      <alignment horizontal="center" vertical="center" wrapText="1" justifyLastLine="1"/>
    </xf>
    <xf numFmtId="49" fontId="20" fillId="0" borderId="0" xfId="37" applyNumberFormat="1" applyFont="1" applyAlignment="1">
      <alignment horizontal="center" vertical="center" wrapText="1" justifyLastLine="1"/>
    </xf>
    <xf numFmtId="49" fontId="20" fillId="0" borderId="10" xfId="37" applyNumberFormat="1" applyFont="1" applyBorder="1" applyAlignment="1">
      <alignment horizontal="center" vertical="center" wrapText="1" justifyLastLine="1"/>
    </xf>
    <xf numFmtId="49" fontId="20" fillId="0" borderId="11" xfId="37" applyNumberFormat="1" applyFont="1" applyBorder="1" applyAlignment="1">
      <alignment horizontal="center" vertical="center" wrapText="1" justifyLastLine="1"/>
    </xf>
    <xf numFmtId="49" fontId="15" fillId="0" borderId="20" xfId="22" applyNumberFormat="1" applyFont="1" applyBorder="1" applyAlignment="1">
      <alignment horizontal="center" vertical="center" shrinkToFit="1"/>
    </xf>
    <xf numFmtId="49" fontId="15" fillId="0" borderId="22" xfId="22" applyNumberFormat="1" applyFont="1" applyBorder="1" applyAlignment="1">
      <alignment horizontal="center" vertical="center" shrinkToFit="1"/>
    </xf>
    <xf numFmtId="0" fontId="81" fillId="0" borderId="20" xfId="22" applyNumberFormat="1" applyFont="1" applyBorder="1" applyAlignment="1">
      <alignment horizontal="center" vertical="center"/>
    </xf>
    <xf numFmtId="0" fontId="81" fillId="0" borderId="21" xfId="22" applyNumberFormat="1" applyFont="1" applyBorder="1" applyAlignment="1">
      <alignment horizontal="center" vertical="center"/>
    </xf>
    <xf numFmtId="0" fontId="81" fillId="0" borderId="22" xfId="22" applyNumberFormat="1" applyFont="1" applyBorder="1" applyAlignment="1">
      <alignment horizontal="center" vertical="center"/>
    </xf>
    <xf numFmtId="0" fontId="80" fillId="0" borderId="28" xfId="22" applyNumberFormat="1" applyFont="1" applyBorder="1" applyAlignment="1">
      <alignment horizontal="center" vertical="center"/>
    </xf>
    <xf numFmtId="0" fontId="80" fillId="0" borderId="29" xfId="22" applyNumberFormat="1" applyFont="1" applyBorder="1" applyAlignment="1">
      <alignment horizontal="center" vertical="center"/>
    </xf>
    <xf numFmtId="0" fontId="80" fillId="0" borderId="30" xfId="22" applyNumberFormat="1" applyFont="1" applyBorder="1" applyAlignment="1">
      <alignment horizontal="center" vertical="center"/>
    </xf>
    <xf numFmtId="49" fontId="15" fillId="0" borderId="28" xfId="22" applyNumberFormat="1" applyFont="1" applyBorder="1" applyAlignment="1">
      <alignment horizontal="center" vertical="center" shrinkToFit="1"/>
    </xf>
    <xf numFmtId="49" fontId="15" fillId="0" borderId="30" xfId="22" applyNumberFormat="1" applyFont="1" applyBorder="1" applyAlignment="1">
      <alignment horizontal="center" vertical="center" shrinkToFit="1"/>
    </xf>
    <xf numFmtId="49" fontId="15" fillId="0" borderId="23" xfId="22" applyNumberFormat="1" applyFont="1" applyBorder="1" applyAlignment="1">
      <alignment horizontal="center" vertical="center" shrinkToFit="1"/>
    </xf>
    <xf numFmtId="49" fontId="15" fillId="0" borderId="25" xfId="22" applyNumberFormat="1" applyFont="1" applyBorder="1" applyAlignment="1">
      <alignment horizontal="center" vertical="center" shrinkToFit="1"/>
    </xf>
    <xf numFmtId="0" fontId="15" fillId="0" borderId="20" xfId="22" applyNumberFormat="1" applyFont="1" applyBorder="1" applyAlignment="1">
      <alignment horizontal="center" vertical="center"/>
    </xf>
    <xf numFmtId="0" fontId="15" fillId="0" borderId="21" xfId="22" applyNumberFormat="1" applyFont="1" applyBorder="1" applyAlignment="1">
      <alignment horizontal="center" vertical="center"/>
    </xf>
    <xf numFmtId="0" fontId="15" fillId="0" borderId="22" xfId="22" applyNumberFormat="1" applyFont="1" applyBorder="1" applyAlignment="1">
      <alignment horizontal="center" vertical="center"/>
    </xf>
    <xf numFmtId="0" fontId="16" fillId="0" borderId="28" xfId="22" applyNumberFormat="1" applyFont="1" applyFill="1" applyBorder="1" applyAlignment="1">
      <alignment horizontal="center" vertical="center"/>
    </xf>
    <xf numFmtId="0" fontId="16" fillId="0" borderId="29" xfId="22" applyNumberFormat="1" applyFont="1" applyFill="1" applyBorder="1" applyAlignment="1">
      <alignment horizontal="center" vertical="center"/>
    </xf>
    <xf numFmtId="0" fontId="16" fillId="0" borderId="30" xfId="22" applyNumberFormat="1" applyFont="1" applyFill="1" applyBorder="1" applyAlignment="1">
      <alignment horizontal="center" vertical="center"/>
    </xf>
    <xf numFmtId="0" fontId="15" fillId="0" borderId="23" xfId="22" applyNumberFormat="1" applyFont="1" applyBorder="1" applyAlignment="1">
      <alignment horizontal="center" vertical="center"/>
    </xf>
    <xf numFmtId="0" fontId="15" fillId="0" borderId="24" xfId="22" applyNumberFormat="1" applyFont="1" applyBorder="1" applyAlignment="1">
      <alignment horizontal="center" vertical="center"/>
    </xf>
    <xf numFmtId="0" fontId="15" fillId="0" borderId="25" xfId="22" applyNumberFormat="1" applyFont="1" applyBorder="1" applyAlignment="1">
      <alignment horizontal="center" vertical="center"/>
    </xf>
    <xf numFmtId="49" fontId="15" fillId="0" borderId="28" xfId="22" applyNumberFormat="1" applyFont="1" applyFill="1" applyBorder="1" applyAlignment="1">
      <alignment horizontal="center" vertical="center" shrinkToFit="1"/>
    </xf>
    <xf numFmtId="49" fontId="15" fillId="0" borderId="30" xfId="22" applyNumberFormat="1" applyFont="1" applyFill="1" applyBorder="1" applyAlignment="1">
      <alignment horizontal="center" vertical="center" shrinkToFit="1"/>
    </xf>
    <xf numFmtId="49" fontId="15" fillId="0" borderId="20" xfId="22" applyNumberFormat="1" applyFont="1" applyFill="1" applyBorder="1" applyAlignment="1">
      <alignment horizontal="center" vertical="center" shrinkToFit="1"/>
    </xf>
    <xf numFmtId="49" fontId="15" fillId="0" borderId="22" xfId="22" applyNumberFormat="1" applyFont="1" applyFill="1" applyBorder="1" applyAlignment="1">
      <alignment horizontal="center" vertical="center" shrinkToFit="1"/>
    </xf>
    <xf numFmtId="0" fontId="16" fillId="0" borderId="28" xfId="22" applyNumberFormat="1" applyFont="1" applyBorder="1" applyAlignment="1">
      <alignment horizontal="center" vertical="center"/>
    </xf>
    <xf numFmtId="0" fontId="16" fillId="0" borderId="29" xfId="22" applyNumberFormat="1" applyFont="1" applyBorder="1" applyAlignment="1">
      <alignment horizontal="center" vertical="center"/>
    </xf>
    <xf numFmtId="0" fontId="16" fillId="0" borderId="30" xfId="22" applyNumberFormat="1" applyFont="1" applyBorder="1" applyAlignment="1">
      <alignment horizontal="center" vertical="center"/>
    </xf>
    <xf numFmtId="0" fontId="15" fillId="0" borderId="23" xfId="22" applyNumberFormat="1" applyFont="1" applyFill="1" applyBorder="1" applyAlignment="1">
      <alignment horizontal="center" vertical="center"/>
    </xf>
    <xf numFmtId="0" fontId="15" fillId="0" borderId="24" xfId="22" applyNumberFormat="1" applyFont="1" applyFill="1" applyBorder="1" applyAlignment="1">
      <alignment horizontal="center" vertical="center"/>
    </xf>
    <xf numFmtId="0" fontId="15" fillId="0" borderId="25" xfId="22" applyNumberFormat="1" applyFont="1" applyFill="1" applyBorder="1" applyAlignment="1">
      <alignment horizontal="center" vertical="center"/>
    </xf>
    <xf numFmtId="0" fontId="81" fillId="0" borderId="23" xfId="22" applyNumberFormat="1" applyFont="1" applyBorder="1" applyAlignment="1">
      <alignment horizontal="center" vertical="center" shrinkToFit="1"/>
    </xf>
    <xf numFmtId="0" fontId="81" fillId="0" borderId="24" xfId="22" applyNumberFormat="1" applyFont="1" applyBorder="1" applyAlignment="1">
      <alignment horizontal="center" vertical="center" shrinkToFit="1"/>
    </xf>
    <xf numFmtId="0" fontId="81" fillId="0" borderId="25" xfId="22" applyNumberFormat="1" applyFont="1" applyBorder="1" applyAlignment="1">
      <alignment horizontal="center" vertical="center" shrinkToFit="1"/>
    </xf>
    <xf numFmtId="0" fontId="15" fillId="0" borderId="20" xfId="22" applyNumberFormat="1" applyFont="1" applyFill="1" applyBorder="1" applyAlignment="1">
      <alignment horizontal="center" vertical="center"/>
    </xf>
    <xf numFmtId="0" fontId="15" fillId="0" borderId="21" xfId="22" applyNumberFormat="1" applyFont="1" applyFill="1" applyBorder="1" applyAlignment="1">
      <alignment horizontal="center" vertical="center"/>
    </xf>
    <xf numFmtId="0" fontId="15" fillId="0" borderId="22" xfId="22" applyNumberFormat="1" applyFont="1" applyFill="1" applyBorder="1" applyAlignment="1">
      <alignment horizontal="center" vertical="center"/>
    </xf>
    <xf numFmtId="0" fontId="15" fillId="0" borderId="23" xfId="22" applyNumberFormat="1" applyFont="1" applyBorder="1" applyAlignment="1">
      <alignment horizontal="center" vertical="center" shrinkToFit="1"/>
    </xf>
    <xf numFmtId="0" fontId="15" fillId="0" borderId="24" xfId="22" applyNumberFormat="1" applyFont="1" applyBorder="1" applyAlignment="1">
      <alignment horizontal="center" vertical="center" shrinkToFit="1"/>
    </xf>
    <xf numFmtId="0" fontId="15" fillId="0" borderId="25" xfId="22" applyNumberFormat="1" applyFont="1" applyBorder="1" applyAlignment="1">
      <alignment horizontal="center" vertical="center" shrinkToFit="1"/>
    </xf>
    <xf numFmtId="0" fontId="15" fillId="0" borderId="23" xfId="22" applyNumberFormat="1" applyFont="1" applyFill="1" applyBorder="1" applyAlignment="1">
      <alignment horizontal="center" vertical="center" shrinkToFit="1"/>
    </xf>
    <xf numFmtId="0" fontId="15" fillId="0" borderId="24" xfId="22" applyNumberFormat="1" applyFont="1" applyFill="1" applyBorder="1" applyAlignment="1">
      <alignment horizontal="center" vertical="center" shrinkToFit="1"/>
    </xf>
    <xf numFmtId="0" fontId="15" fillId="0" borderId="25" xfId="22" applyNumberFormat="1" applyFont="1" applyFill="1" applyBorder="1" applyAlignment="1">
      <alignment horizontal="center" vertical="center" shrinkToFit="1"/>
    </xf>
    <xf numFmtId="49" fontId="15" fillId="0" borderId="23" xfId="22" applyNumberFormat="1" applyFont="1" applyFill="1" applyBorder="1" applyAlignment="1">
      <alignment horizontal="center" vertical="center" shrinkToFit="1"/>
    </xf>
    <xf numFmtId="49" fontId="15" fillId="0" borderId="25" xfId="22" applyNumberFormat="1" applyFont="1" applyFill="1" applyBorder="1" applyAlignment="1">
      <alignment horizontal="center" vertical="center" shrinkToFit="1"/>
    </xf>
    <xf numFmtId="0" fontId="56" fillId="0" borderId="12" xfId="0" applyFont="1" applyFill="1" applyBorder="1" applyAlignment="1">
      <alignment vertical="center"/>
    </xf>
    <xf numFmtId="0" fontId="51" fillId="0" borderId="12" xfId="0" applyNumberFormat="1" applyFont="1" applyFill="1" applyBorder="1" applyAlignment="1">
      <alignment vertical="center"/>
    </xf>
    <xf numFmtId="0" fontId="53" fillId="0" borderId="14" xfId="0" applyFont="1" applyFill="1" applyBorder="1" applyAlignment="1">
      <alignment horizontal="center" vertical="center" shrinkToFit="1"/>
    </xf>
    <xf numFmtId="0" fontId="53" fillId="0" borderId="9" xfId="0" applyFont="1" applyFill="1" applyBorder="1" applyAlignment="1">
      <alignment horizontal="center" vertical="center" shrinkToFit="1"/>
    </xf>
    <xf numFmtId="20" fontId="53" fillId="0" borderId="2" xfId="0" applyNumberFormat="1" applyFont="1" applyFill="1" applyBorder="1" applyAlignment="1">
      <alignment horizontal="center" vertical="center"/>
    </xf>
    <xf numFmtId="20" fontId="53" fillId="0" borderId="3" xfId="0" applyNumberFormat="1" applyFont="1" applyFill="1" applyBorder="1" applyAlignment="1">
      <alignment horizontal="center" vertical="center"/>
    </xf>
    <xf numFmtId="20" fontId="53" fillId="0" borderId="15" xfId="0" applyNumberFormat="1" applyFont="1" applyFill="1" applyBorder="1" applyAlignment="1">
      <alignment horizontal="center" vertical="center"/>
    </xf>
    <xf numFmtId="20" fontId="53" fillId="0" borderId="10" xfId="0" applyNumberFormat="1" applyFont="1" applyFill="1" applyBorder="1" applyAlignment="1">
      <alignment horizontal="center" vertical="center"/>
    </xf>
    <xf numFmtId="20" fontId="53" fillId="0" borderId="11" xfId="0" applyNumberFormat="1" applyFont="1" applyFill="1" applyBorder="1" applyAlignment="1">
      <alignment horizontal="center" vertical="center"/>
    </xf>
    <xf numFmtId="20" fontId="53" fillId="0" borderId="44" xfId="0" applyNumberFormat="1" applyFont="1" applyFill="1" applyBorder="1" applyAlignment="1">
      <alignment horizontal="center" vertical="center"/>
    </xf>
    <xf numFmtId="56" fontId="56" fillId="0" borderId="0" xfId="0" quotePrefix="1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left" vertical="center" shrinkToFit="1"/>
    </xf>
    <xf numFmtId="0" fontId="48" fillId="0" borderId="76" xfId="0" applyFont="1" applyFill="1" applyBorder="1" applyAlignment="1">
      <alignment horizontal="left" vertical="center" shrinkToFit="1"/>
    </xf>
    <xf numFmtId="56" fontId="56" fillId="0" borderId="0" xfId="0" quotePrefix="1" applyNumberFormat="1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0" fillId="0" borderId="54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3" fillId="0" borderId="4" xfId="0" applyFont="1" applyFill="1" applyBorder="1" applyAlignment="1">
      <alignment horizontal="center" vertical="center" shrinkToFit="1"/>
    </xf>
    <xf numFmtId="0" fontId="53" fillId="0" borderId="6" xfId="0" applyFont="1" applyFill="1" applyBorder="1" applyAlignment="1">
      <alignment horizontal="center" vertical="center" shrinkToFit="1"/>
    </xf>
    <xf numFmtId="0" fontId="53" fillId="0" borderId="16" xfId="0" applyFont="1" applyFill="1" applyBorder="1" applyAlignment="1">
      <alignment horizontal="center" vertical="center" shrinkToFit="1"/>
    </xf>
    <xf numFmtId="0" fontId="47" fillId="0" borderId="4" xfId="0" applyFont="1" applyFill="1" applyBorder="1" applyAlignment="1">
      <alignment horizontal="center" vertical="center" shrinkToFit="1"/>
    </xf>
    <xf numFmtId="0" fontId="47" fillId="0" borderId="6" xfId="0" applyFont="1" applyFill="1" applyBorder="1" applyAlignment="1">
      <alignment horizontal="center" vertical="center" shrinkToFit="1"/>
    </xf>
    <xf numFmtId="0" fontId="47" fillId="0" borderId="16" xfId="0" applyFont="1" applyFill="1" applyBorder="1" applyAlignment="1">
      <alignment horizontal="center" vertical="center" shrinkToFit="1"/>
    </xf>
    <xf numFmtId="0" fontId="48" fillId="0" borderId="58" xfId="0" applyFont="1" applyFill="1" applyBorder="1" applyAlignment="1">
      <alignment horizontal="center" vertical="center" shrinkToFit="1"/>
    </xf>
    <xf numFmtId="0" fontId="48" fillId="0" borderId="56" xfId="0" applyFont="1" applyFill="1" applyBorder="1" applyAlignment="1">
      <alignment horizontal="center" vertical="center" shrinkToFit="1"/>
    </xf>
    <xf numFmtId="0" fontId="48" fillId="0" borderId="59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shrinkToFit="1"/>
    </xf>
    <xf numFmtId="0" fontId="47" fillId="0" borderId="73" xfId="0" applyFont="1" applyFill="1" applyBorder="1" applyAlignment="1">
      <alignment horizontal="center" vertical="center" shrinkToFit="1"/>
    </xf>
    <xf numFmtId="0" fontId="48" fillId="0" borderId="73" xfId="0" applyFont="1" applyFill="1" applyBorder="1" applyAlignment="1">
      <alignment horizontal="center" vertical="center" shrinkToFit="1"/>
    </xf>
    <xf numFmtId="0" fontId="53" fillId="0" borderId="77" xfId="0" applyFont="1" applyFill="1" applyBorder="1" applyAlignment="1">
      <alignment horizontal="center" vertical="center" shrinkToFit="1"/>
    </xf>
    <xf numFmtId="0" fontId="53" fillId="0" borderId="78" xfId="0" applyFont="1" applyFill="1" applyBorder="1" applyAlignment="1">
      <alignment horizontal="center" vertical="center" shrinkToFit="1"/>
    </xf>
    <xf numFmtId="14" fontId="47" fillId="0" borderId="4" xfId="0" applyNumberFormat="1" applyFont="1" applyFill="1" applyBorder="1" applyAlignment="1">
      <alignment horizontal="right" vertical="center" shrinkToFit="1"/>
    </xf>
    <xf numFmtId="14" fontId="47" fillId="0" borderId="6" xfId="0" applyNumberFormat="1" applyFont="1" applyFill="1" applyBorder="1" applyAlignment="1">
      <alignment horizontal="right" vertical="center" shrinkToFit="1"/>
    </xf>
    <xf numFmtId="177" fontId="49" fillId="0" borderId="6" xfId="0" applyNumberFormat="1" applyFont="1" applyFill="1" applyBorder="1" applyAlignment="1">
      <alignment horizontal="left" vertical="center" shrinkToFit="1"/>
    </xf>
    <xf numFmtId="177" fontId="49" fillId="0" borderId="16" xfId="0" applyNumberFormat="1" applyFont="1" applyFill="1" applyBorder="1" applyAlignment="1">
      <alignment horizontal="left" vertical="center" shrinkToFit="1"/>
    </xf>
    <xf numFmtId="0" fontId="56" fillId="0" borderId="2" xfId="0" applyFont="1" applyFill="1" applyBorder="1" applyAlignment="1">
      <alignment vertical="center"/>
    </xf>
    <xf numFmtId="0" fontId="56" fillId="0" borderId="3" xfId="0" applyFont="1" applyFill="1" applyBorder="1" applyAlignment="1">
      <alignment vertical="center"/>
    </xf>
    <xf numFmtId="0" fontId="56" fillId="0" borderId="15" xfId="0" applyFont="1" applyFill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0" fontId="56" fillId="0" borderId="11" xfId="0" applyFont="1" applyFill="1" applyBorder="1" applyAlignment="1">
      <alignment vertical="center"/>
    </xf>
    <xf numFmtId="0" fontId="56" fillId="0" borderId="44" xfId="0" applyFont="1" applyFill="1" applyBorder="1" applyAlignment="1">
      <alignment vertical="center"/>
    </xf>
    <xf numFmtId="0" fontId="53" fillId="0" borderId="2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>
      <alignment horizontal="center" vertical="center"/>
    </xf>
    <xf numFmtId="0" fontId="74" fillId="0" borderId="12" xfId="0" applyNumberFormat="1" applyFont="1" applyFill="1" applyBorder="1" applyAlignment="1">
      <alignment vertical="center"/>
    </xf>
    <xf numFmtId="0" fontId="47" fillId="0" borderId="12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vertical="center"/>
    </xf>
    <xf numFmtId="0" fontId="48" fillId="0" borderId="78" xfId="0" applyFont="1" applyFill="1" applyBorder="1" applyAlignment="1">
      <alignment horizontal="left" vertical="center" shrinkToFit="1"/>
    </xf>
    <xf numFmtId="0" fontId="48" fillId="0" borderId="79" xfId="0" applyFont="1" applyFill="1" applyBorder="1" applyAlignment="1">
      <alignment horizontal="left" vertical="center" shrinkToFit="1"/>
    </xf>
    <xf numFmtId="0" fontId="48" fillId="0" borderId="74" xfId="0" applyFont="1" applyFill="1" applyBorder="1" applyAlignment="1">
      <alignment horizontal="center" vertical="center" shrinkToFit="1"/>
    </xf>
    <xf numFmtId="0" fontId="53" fillId="0" borderId="12" xfId="0" applyFont="1" applyFill="1" applyBorder="1" applyAlignment="1">
      <alignment horizontal="center" vertical="center" shrinkToFit="1"/>
    </xf>
    <xf numFmtId="179" fontId="53" fillId="0" borderId="2" xfId="0" applyNumberFormat="1" applyFont="1" applyFill="1" applyBorder="1" applyAlignment="1">
      <alignment horizontal="center" vertical="center" shrinkToFit="1"/>
    </xf>
    <xf numFmtId="179" fontId="53" fillId="0" borderId="3" xfId="0" applyNumberFormat="1" applyFont="1" applyFill="1" applyBorder="1" applyAlignment="1">
      <alignment horizontal="center" vertical="center" shrinkToFit="1"/>
    </xf>
    <xf numFmtId="179" fontId="53" fillId="0" borderId="15" xfId="0" applyNumberFormat="1" applyFont="1" applyFill="1" applyBorder="1" applyAlignment="1">
      <alignment horizontal="center" vertical="center" shrinkToFit="1"/>
    </xf>
    <xf numFmtId="179" fontId="53" fillId="0" borderId="10" xfId="0" applyNumberFormat="1" applyFont="1" applyFill="1" applyBorder="1" applyAlignment="1">
      <alignment horizontal="center" vertical="center" shrinkToFit="1"/>
    </xf>
    <xf numFmtId="179" fontId="53" fillId="0" borderId="11" xfId="0" applyNumberFormat="1" applyFont="1" applyFill="1" applyBorder="1" applyAlignment="1">
      <alignment horizontal="center" vertical="center" shrinkToFit="1"/>
    </xf>
    <xf numFmtId="179" fontId="53" fillId="0" borderId="44" xfId="0" applyNumberFormat="1" applyFont="1" applyFill="1" applyBorder="1" applyAlignment="1">
      <alignment horizontal="center" vertical="center" shrinkToFit="1"/>
    </xf>
    <xf numFmtId="0" fontId="53" fillId="0" borderId="60" xfId="0" applyFont="1" applyFill="1" applyBorder="1" applyAlignment="1">
      <alignment horizontal="center" vertical="center" shrinkToFit="1"/>
    </xf>
    <xf numFmtId="0" fontId="53" fillId="0" borderId="61" xfId="0" applyFont="1" applyFill="1" applyBorder="1" applyAlignment="1">
      <alignment horizontal="center" vertical="center" shrinkToFit="1"/>
    </xf>
    <xf numFmtId="0" fontId="53" fillId="0" borderId="62" xfId="0" applyFont="1" applyFill="1" applyBorder="1" applyAlignment="1">
      <alignment horizontal="center" vertical="center" shrinkToFit="1"/>
    </xf>
    <xf numFmtId="0" fontId="53" fillId="0" borderId="63" xfId="0" applyFont="1" applyFill="1" applyBorder="1" applyAlignment="1">
      <alignment horizontal="center" vertical="center" shrinkToFit="1"/>
    </xf>
    <xf numFmtId="0" fontId="47" fillId="0" borderId="63" xfId="0" applyFont="1" applyFill="1" applyBorder="1" applyAlignment="1">
      <alignment horizontal="center" vertical="center" shrinkToFit="1"/>
    </xf>
    <xf numFmtId="0" fontId="47" fillId="0" borderId="61" xfId="0" applyFont="1" applyFill="1" applyBorder="1" applyAlignment="1">
      <alignment horizontal="center" vertical="center" shrinkToFit="1"/>
    </xf>
    <xf numFmtId="0" fontId="47" fillId="0" borderId="62" xfId="0" applyFont="1" applyFill="1" applyBorder="1" applyAlignment="1">
      <alignment horizontal="center" vertical="center" shrinkToFit="1"/>
    </xf>
    <xf numFmtId="0" fontId="49" fillId="0" borderId="63" xfId="0" applyFont="1" applyFill="1" applyBorder="1" applyAlignment="1">
      <alignment horizontal="center" vertical="center" shrinkToFit="1"/>
    </xf>
    <xf numFmtId="0" fontId="49" fillId="0" borderId="61" xfId="0" applyFont="1" applyFill="1" applyBorder="1" applyAlignment="1">
      <alignment horizontal="center" vertical="center" shrinkToFit="1"/>
    </xf>
    <xf numFmtId="0" fontId="49" fillId="0" borderId="62" xfId="0" applyFont="1" applyFill="1" applyBorder="1" applyAlignment="1">
      <alignment horizontal="center" vertical="center" shrinkToFit="1"/>
    </xf>
    <xf numFmtId="0" fontId="48" fillId="0" borderId="63" xfId="0" applyFont="1" applyFill="1" applyBorder="1" applyAlignment="1">
      <alignment horizontal="left" vertical="center" shrinkToFit="1"/>
    </xf>
    <xf numFmtId="0" fontId="48" fillId="0" borderId="61" xfId="0" applyFont="1" applyFill="1" applyBorder="1" applyAlignment="1">
      <alignment horizontal="left" vertical="center" shrinkToFit="1"/>
    </xf>
    <xf numFmtId="0" fontId="48" fillId="0" borderId="64" xfId="0" applyFont="1" applyFill="1" applyBorder="1" applyAlignment="1">
      <alignment horizontal="left" vertical="center" shrinkToFit="1"/>
    </xf>
    <xf numFmtId="0" fontId="53" fillId="0" borderId="55" xfId="0" applyFont="1" applyFill="1" applyBorder="1" applyAlignment="1">
      <alignment horizontal="center" vertical="center" shrinkToFit="1"/>
    </xf>
    <xf numFmtId="0" fontId="53" fillId="0" borderId="56" xfId="0" applyFont="1" applyFill="1" applyBorder="1" applyAlignment="1">
      <alignment horizontal="center" vertical="center" shrinkToFit="1"/>
    </xf>
    <xf numFmtId="0" fontId="53" fillId="0" borderId="57" xfId="0" applyFont="1" applyFill="1" applyBorder="1" applyAlignment="1">
      <alignment horizontal="center" vertical="center" shrinkToFit="1"/>
    </xf>
    <xf numFmtId="0" fontId="53" fillId="0" borderId="58" xfId="0" applyFont="1" applyFill="1" applyBorder="1" applyAlignment="1">
      <alignment horizontal="center" vertical="center" shrinkToFit="1"/>
    </xf>
    <xf numFmtId="0" fontId="47" fillId="0" borderId="58" xfId="0" applyFont="1" applyFill="1" applyBorder="1" applyAlignment="1">
      <alignment horizontal="center" vertical="center" shrinkToFit="1"/>
    </xf>
    <xf numFmtId="0" fontId="47" fillId="0" borderId="56" xfId="0" applyFont="1" applyFill="1" applyBorder="1" applyAlignment="1">
      <alignment horizontal="center" vertical="center" shrinkToFit="1"/>
    </xf>
    <xf numFmtId="0" fontId="47" fillId="0" borderId="57" xfId="0" applyFont="1" applyFill="1" applyBorder="1" applyAlignment="1">
      <alignment horizontal="center" vertical="center" shrinkToFit="1"/>
    </xf>
    <xf numFmtId="0" fontId="48" fillId="0" borderId="57" xfId="0" applyFont="1" applyFill="1" applyBorder="1" applyAlignment="1">
      <alignment horizontal="center" vertical="center" shrinkToFit="1"/>
    </xf>
    <xf numFmtId="0" fontId="48" fillId="0" borderId="4" xfId="0" applyFont="1" applyFill="1" applyBorder="1" applyAlignment="1">
      <alignment horizontal="left" vertical="center" shrinkToFit="1"/>
    </xf>
    <xf numFmtId="0" fontId="48" fillId="0" borderId="6" xfId="0" applyFont="1" applyFill="1" applyBorder="1" applyAlignment="1">
      <alignment horizontal="left" vertical="center" shrinkToFit="1"/>
    </xf>
    <xf numFmtId="0" fontId="48" fillId="0" borderId="66" xfId="0" applyFont="1" applyFill="1" applyBorder="1" applyAlignment="1">
      <alignment horizontal="left" vertical="center" shrinkToFit="1"/>
    </xf>
    <xf numFmtId="0" fontId="53" fillId="0" borderId="67" xfId="0" applyFont="1" applyFill="1" applyBorder="1" applyAlignment="1">
      <alignment horizontal="center" vertical="center" shrinkToFit="1"/>
    </xf>
    <xf numFmtId="0" fontId="53" fillId="0" borderId="68" xfId="0" applyFont="1" applyFill="1" applyBorder="1" applyAlignment="1">
      <alignment horizontal="center" vertical="center" shrinkToFit="1"/>
    </xf>
    <xf numFmtId="0" fontId="53" fillId="0" borderId="69" xfId="0" applyFont="1" applyFill="1" applyBorder="1" applyAlignment="1">
      <alignment horizontal="center" vertical="center" shrinkToFit="1"/>
    </xf>
    <xf numFmtId="0" fontId="53" fillId="0" borderId="70" xfId="0" applyFont="1" applyFill="1" applyBorder="1" applyAlignment="1">
      <alignment horizontal="center" vertical="center" shrinkToFit="1"/>
    </xf>
    <xf numFmtId="0" fontId="47" fillId="0" borderId="70" xfId="0" applyFont="1" applyFill="1" applyBorder="1" applyAlignment="1">
      <alignment horizontal="center" vertical="center" shrinkToFit="1"/>
    </xf>
    <xf numFmtId="0" fontId="47" fillId="0" borderId="68" xfId="0" applyFont="1" applyFill="1" applyBorder="1" applyAlignment="1">
      <alignment horizontal="center" vertical="center" shrinkToFit="1"/>
    </xf>
    <xf numFmtId="0" fontId="47" fillId="0" borderId="69" xfId="0" applyFont="1" applyFill="1" applyBorder="1" applyAlignment="1">
      <alignment horizontal="center" vertical="center" shrinkToFit="1"/>
    </xf>
    <xf numFmtId="0" fontId="54" fillId="0" borderId="70" xfId="0" applyFont="1" applyFill="1" applyBorder="1" applyAlignment="1">
      <alignment horizontal="center" vertical="center" shrinkToFit="1"/>
    </xf>
    <xf numFmtId="0" fontId="54" fillId="0" borderId="68" xfId="0" applyFont="1" applyFill="1" applyBorder="1" applyAlignment="1">
      <alignment horizontal="center" vertical="center" shrinkToFit="1"/>
    </xf>
    <xf numFmtId="0" fontId="54" fillId="0" borderId="69" xfId="0" applyFont="1" applyFill="1" applyBorder="1" applyAlignment="1">
      <alignment horizontal="center" vertical="center" shrinkToFit="1"/>
    </xf>
    <xf numFmtId="0" fontId="48" fillId="0" borderId="70" xfId="0" applyFont="1" applyFill="1" applyBorder="1" applyAlignment="1">
      <alignment horizontal="left" vertical="center" shrinkToFit="1"/>
    </xf>
    <xf numFmtId="0" fontId="48" fillId="0" borderId="68" xfId="0" applyFont="1" applyFill="1" applyBorder="1" applyAlignment="1">
      <alignment horizontal="left" vertical="center" shrinkToFit="1"/>
    </xf>
    <xf numFmtId="0" fontId="48" fillId="0" borderId="71" xfId="0" applyFont="1" applyFill="1" applyBorder="1" applyAlignment="1">
      <alignment horizontal="left" vertical="center" shrinkToFit="1"/>
    </xf>
    <xf numFmtId="0" fontId="53" fillId="0" borderId="65" xfId="0" applyFont="1" applyFill="1" applyBorder="1" applyAlignment="1">
      <alignment horizontal="center" vertical="center" shrinkToFit="1"/>
    </xf>
    <xf numFmtId="0" fontId="53" fillId="0" borderId="2" xfId="0" applyNumberFormat="1" applyFont="1" applyFill="1" applyBorder="1" applyAlignment="1">
      <alignment horizontal="right" vertical="center"/>
    </xf>
    <xf numFmtId="0" fontId="53" fillId="0" borderId="3" xfId="0" applyNumberFormat="1" applyFont="1" applyFill="1" applyBorder="1" applyAlignment="1">
      <alignment horizontal="right" vertical="center"/>
    </xf>
    <xf numFmtId="0" fontId="53" fillId="0" borderId="15" xfId="0" applyNumberFormat="1" applyFont="1" applyFill="1" applyBorder="1" applyAlignment="1">
      <alignment horizontal="right" vertical="center"/>
    </xf>
    <xf numFmtId="0" fontId="53" fillId="0" borderId="10" xfId="0" applyNumberFormat="1" applyFont="1" applyFill="1" applyBorder="1" applyAlignment="1">
      <alignment horizontal="right" vertical="center"/>
    </xf>
    <xf numFmtId="0" fontId="53" fillId="0" borderId="11" xfId="0" applyNumberFormat="1" applyFont="1" applyFill="1" applyBorder="1" applyAlignment="1">
      <alignment horizontal="right" vertical="center"/>
    </xf>
    <xf numFmtId="0" fontId="53" fillId="0" borderId="44" xfId="0" applyNumberFormat="1" applyFont="1" applyFill="1" applyBorder="1" applyAlignment="1">
      <alignment horizontal="right" vertical="center"/>
    </xf>
    <xf numFmtId="0" fontId="53" fillId="0" borderId="2" xfId="0" applyNumberFormat="1" applyFont="1" applyFill="1" applyBorder="1" applyAlignment="1">
      <alignment horizontal="left" vertical="center"/>
    </xf>
    <xf numFmtId="0" fontId="53" fillId="0" borderId="3" xfId="0" applyNumberFormat="1" applyFont="1" applyFill="1" applyBorder="1" applyAlignment="1">
      <alignment horizontal="left" vertical="center"/>
    </xf>
    <xf numFmtId="0" fontId="53" fillId="0" borderId="15" xfId="0" applyNumberFormat="1" applyFont="1" applyFill="1" applyBorder="1" applyAlignment="1">
      <alignment horizontal="left" vertical="center"/>
    </xf>
    <xf numFmtId="0" fontId="53" fillId="0" borderId="10" xfId="0" applyNumberFormat="1" applyFont="1" applyFill="1" applyBorder="1" applyAlignment="1">
      <alignment horizontal="left" vertical="center"/>
    </xf>
    <xf numFmtId="0" fontId="53" fillId="0" borderId="11" xfId="0" applyNumberFormat="1" applyFont="1" applyFill="1" applyBorder="1" applyAlignment="1">
      <alignment horizontal="left" vertical="center"/>
    </xf>
    <xf numFmtId="0" fontId="53" fillId="0" borderId="44" xfId="0" applyNumberFormat="1" applyFont="1" applyFill="1" applyBorder="1" applyAlignment="1">
      <alignment horizontal="left" vertical="center"/>
    </xf>
    <xf numFmtId="0" fontId="53" fillId="0" borderId="9" xfId="0" applyNumberFormat="1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/>
    </xf>
    <xf numFmtId="0" fontId="56" fillId="0" borderId="12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vertical="center"/>
    </xf>
    <xf numFmtId="0" fontId="53" fillId="0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vertical="center"/>
    </xf>
    <xf numFmtId="0" fontId="56" fillId="0" borderId="12" xfId="0" applyNumberFormat="1" applyFont="1" applyFill="1" applyBorder="1" applyAlignment="1">
      <alignment vertical="center"/>
    </xf>
    <xf numFmtId="0" fontId="47" fillId="0" borderId="12" xfId="0" applyNumberFormat="1" applyFont="1" applyFill="1" applyBorder="1" applyAlignment="1">
      <alignment vertical="center"/>
    </xf>
    <xf numFmtId="0" fontId="74" fillId="0" borderId="12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shrinkToFit="1"/>
    </xf>
    <xf numFmtId="0" fontId="54" fillId="0" borderId="1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 shrinkToFit="1"/>
    </xf>
    <xf numFmtId="0" fontId="53" fillId="0" borderId="72" xfId="0" applyFont="1" applyFill="1" applyBorder="1" applyAlignment="1">
      <alignment horizontal="center" vertical="center" shrinkToFit="1"/>
    </xf>
    <xf numFmtId="0" fontId="53" fillId="0" borderId="73" xfId="0" applyFont="1" applyFill="1" applyBorder="1" applyAlignment="1">
      <alignment horizontal="center" vertical="center" shrinkToFit="1"/>
    </xf>
    <xf numFmtId="0" fontId="47" fillId="0" borderId="78" xfId="0" applyFont="1" applyFill="1" applyBorder="1" applyAlignment="1">
      <alignment horizontal="center" vertical="center" shrinkToFit="1"/>
    </xf>
    <xf numFmtId="0" fontId="48" fillId="0" borderId="78" xfId="0" applyFont="1" applyFill="1" applyBorder="1" applyAlignment="1">
      <alignment horizontal="center" vertical="center" shrinkToFit="1"/>
    </xf>
    <xf numFmtId="0" fontId="53" fillId="0" borderId="75" xfId="0" applyFont="1" applyFill="1" applyBorder="1" applyAlignment="1">
      <alignment horizontal="center" vertical="center" shrinkToFit="1"/>
    </xf>
    <xf numFmtId="49" fontId="53" fillId="0" borderId="12" xfId="0" applyNumberFormat="1" applyFont="1" applyFill="1" applyBorder="1" applyAlignment="1">
      <alignment horizontal="center" vertical="center"/>
    </xf>
    <xf numFmtId="0" fontId="53" fillId="0" borderId="12" xfId="0" applyNumberFormat="1" applyFont="1" applyFill="1" applyBorder="1" applyAlignment="1">
      <alignment horizontal="center" vertical="center"/>
    </xf>
    <xf numFmtId="0" fontId="53" fillId="0" borderId="12" xfId="0" applyNumberFormat="1" applyFont="1" applyFill="1" applyBorder="1" applyAlignment="1">
      <alignment horizontal="right" vertical="center"/>
    </xf>
    <xf numFmtId="0" fontId="56" fillId="0" borderId="12" xfId="0" applyNumberFormat="1" applyFont="1" applyFill="1" applyBorder="1" applyAlignment="1">
      <alignment horizontal="right" vertical="center"/>
    </xf>
    <xf numFmtId="20" fontId="53" fillId="0" borderId="12" xfId="0" applyNumberFormat="1" applyFont="1" applyFill="1" applyBorder="1" applyAlignment="1">
      <alignment horizontal="center" vertical="center" shrinkToFit="1"/>
    </xf>
    <xf numFmtId="0" fontId="49" fillId="0" borderId="12" xfId="0" applyFont="1" applyFill="1" applyBorder="1" applyAlignment="1">
      <alignment horizontal="center" vertical="center" shrinkToFit="1"/>
    </xf>
    <xf numFmtId="0" fontId="47" fillId="0" borderId="4" xfId="0" applyNumberFormat="1" applyFont="1" applyFill="1" applyBorder="1" applyAlignment="1">
      <alignment horizontal="center" vertical="center"/>
    </xf>
    <xf numFmtId="0" fontId="47" fillId="0" borderId="6" xfId="0" applyNumberFormat="1" applyFont="1" applyFill="1" applyBorder="1" applyAlignment="1">
      <alignment horizontal="center" vertical="center"/>
    </xf>
    <xf numFmtId="0" fontId="47" fillId="0" borderId="16" xfId="0" applyNumberFormat="1" applyFont="1" applyFill="1" applyBorder="1" applyAlignment="1">
      <alignment horizontal="center" vertical="center"/>
    </xf>
    <xf numFmtId="0" fontId="47" fillId="0" borderId="2" xfId="0" applyNumberFormat="1" applyFont="1" applyFill="1" applyBorder="1" applyAlignment="1">
      <alignment horizontal="center" vertical="center"/>
    </xf>
    <xf numFmtId="0" fontId="47" fillId="0" borderId="3" xfId="0" applyNumberFormat="1" applyFont="1" applyFill="1" applyBorder="1" applyAlignment="1">
      <alignment horizontal="center" vertical="center"/>
    </xf>
    <xf numFmtId="0" fontId="47" fillId="0" borderId="15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>
      <alignment horizontal="center" vertical="center"/>
    </xf>
    <xf numFmtId="0" fontId="47" fillId="0" borderId="44" xfId="0" applyNumberFormat="1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47" fillId="0" borderId="6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53" fillId="0" borderId="12" xfId="30" applyFont="1" applyFill="1" applyBorder="1" applyAlignment="1">
      <alignment horizontal="center" vertical="center"/>
    </xf>
    <xf numFmtId="0" fontId="56" fillId="0" borderId="12" xfId="30" applyFont="1" applyFill="1" applyBorder="1" applyAlignment="1">
      <alignment vertical="center"/>
    </xf>
    <xf numFmtId="179" fontId="53" fillId="0" borderId="17" xfId="0" applyNumberFormat="1" applyFont="1" applyFill="1" applyBorder="1" applyAlignment="1">
      <alignment horizontal="center" vertical="center" shrinkToFit="1"/>
    </xf>
    <xf numFmtId="179" fontId="53" fillId="0" borderId="0" xfId="0" applyNumberFormat="1" applyFont="1" applyFill="1" applyBorder="1" applyAlignment="1">
      <alignment horizontal="center" vertical="center" shrinkToFit="1"/>
    </xf>
    <xf numFmtId="179" fontId="53" fillId="0" borderId="32" xfId="0" applyNumberFormat="1" applyFont="1" applyFill="1" applyBorder="1" applyAlignment="1">
      <alignment horizontal="center" vertical="center" shrinkToFit="1"/>
    </xf>
    <xf numFmtId="0" fontId="48" fillId="0" borderId="12" xfId="0" applyNumberFormat="1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 vertical="center"/>
    </xf>
    <xf numFmtId="0" fontId="54" fillId="0" borderId="12" xfId="0" applyNumberFormat="1" applyFont="1" applyFill="1" applyBorder="1" applyAlignment="1">
      <alignment vertical="center"/>
    </xf>
    <xf numFmtId="0" fontId="54" fillId="0" borderId="12" xfId="0" applyNumberFormat="1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 shrinkToFit="1"/>
    </xf>
    <xf numFmtId="0" fontId="51" fillId="0" borderId="12" xfId="0" applyNumberFormat="1" applyFont="1" applyFill="1" applyBorder="1" applyAlignment="1">
      <alignment horizontal="center" vertical="center" shrinkToFit="1"/>
    </xf>
    <xf numFmtId="0" fontId="51" fillId="0" borderId="4" xfId="0" applyNumberFormat="1" applyFont="1" applyFill="1" applyBorder="1" applyAlignment="1">
      <alignment horizontal="center" vertical="center"/>
    </xf>
    <xf numFmtId="0" fontId="51" fillId="0" borderId="16" xfId="0" applyNumberFormat="1" applyFont="1" applyFill="1" applyBorder="1" applyAlignment="1">
      <alignment horizontal="center" vertical="center"/>
    </xf>
    <xf numFmtId="0" fontId="51" fillId="0" borderId="4" xfId="0" applyNumberFormat="1" applyFont="1" applyFill="1" applyBorder="1" applyAlignment="1">
      <alignment vertical="center"/>
    </xf>
    <xf numFmtId="0" fontId="51" fillId="0" borderId="6" xfId="0" applyNumberFormat="1" applyFont="1" applyFill="1" applyBorder="1" applyAlignment="1">
      <alignment vertical="center"/>
    </xf>
    <xf numFmtId="0" fontId="51" fillId="0" borderId="16" xfId="0" applyNumberFormat="1" applyFont="1" applyFill="1" applyBorder="1" applyAlignment="1">
      <alignment vertical="center"/>
    </xf>
    <xf numFmtId="0" fontId="47" fillId="0" borderId="4" xfId="0" applyNumberFormat="1" applyFont="1" applyFill="1" applyBorder="1" applyAlignment="1">
      <alignment vertical="center"/>
    </xf>
    <xf numFmtId="0" fontId="47" fillId="0" borderId="6" xfId="0" applyNumberFormat="1" applyFont="1" applyFill="1" applyBorder="1" applyAlignment="1">
      <alignment vertical="center"/>
    </xf>
    <xf numFmtId="0" fontId="47" fillId="0" borderId="16" xfId="0" applyNumberFormat="1" applyFont="1" applyFill="1" applyBorder="1" applyAlignment="1">
      <alignment vertical="center"/>
    </xf>
    <xf numFmtId="0" fontId="48" fillId="0" borderId="14" xfId="0" applyFont="1" applyFill="1" applyBorder="1" applyAlignment="1">
      <alignment horizontal="center" vertical="center" shrinkToFit="1"/>
    </xf>
    <xf numFmtId="0" fontId="48" fillId="0" borderId="14" xfId="0" applyFont="1" applyFill="1" applyBorder="1" applyAlignment="1">
      <alignment horizontal="left" vertical="center" shrinkToFit="1"/>
    </xf>
    <xf numFmtId="0" fontId="53" fillId="0" borderId="2" xfId="0" applyNumberFormat="1" applyFont="1" applyFill="1" applyBorder="1" applyAlignment="1">
      <alignment horizontal="center" vertical="center"/>
    </xf>
    <xf numFmtId="0" fontId="53" fillId="0" borderId="3" xfId="0" applyNumberFormat="1" applyFont="1" applyFill="1" applyBorder="1" applyAlignment="1">
      <alignment horizontal="center" vertical="center"/>
    </xf>
    <xf numFmtId="0" fontId="53" fillId="0" borderId="15" xfId="0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center" vertical="center"/>
    </xf>
    <xf numFmtId="0" fontId="53" fillId="0" borderId="44" xfId="0" applyNumberFormat="1" applyFont="1" applyFill="1" applyBorder="1" applyAlignment="1">
      <alignment horizontal="center" vertical="center"/>
    </xf>
    <xf numFmtId="20" fontId="53" fillId="0" borderId="2" xfId="0" applyNumberFormat="1" applyFont="1" applyFill="1" applyBorder="1" applyAlignment="1">
      <alignment horizontal="center" vertical="center" shrinkToFit="1"/>
    </xf>
    <xf numFmtId="20" fontId="53" fillId="0" borderId="3" xfId="0" applyNumberFormat="1" applyFont="1" applyFill="1" applyBorder="1" applyAlignment="1">
      <alignment horizontal="center" vertical="center" shrinkToFit="1"/>
    </xf>
    <xf numFmtId="20" fontId="53" fillId="0" borderId="15" xfId="0" applyNumberFormat="1" applyFont="1" applyFill="1" applyBorder="1" applyAlignment="1">
      <alignment horizontal="center" vertical="center" shrinkToFit="1"/>
    </xf>
    <xf numFmtId="20" fontId="53" fillId="0" borderId="10" xfId="0" applyNumberFormat="1" applyFont="1" applyFill="1" applyBorder="1" applyAlignment="1">
      <alignment horizontal="center" vertical="center" shrinkToFit="1"/>
    </xf>
    <xf numFmtId="20" fontId="53" fillId="0" borderId="11" xfId="0" applyNumberFormat="1" applyFont="1" applyFill="1" applyBorder="1" applyAlignment="1">
      <alignment horizontal="center" vertical="center" shrinkToFit="1"/>
    </xf>
    <xf numFmtId="20" fontId="53" fillId="0" borderId="44" xfId="0" applyNumberFormat="1" applyFont="1" applyFill="1" applyBorder="1" applyAlignment="1">
      <alignment horizontal="center" vertical="center" shrinkToFit="1"/>
    </xf>
    <xf numFmtId="49" fontId="53" fillId="0" borderId="2" xfId="0" applyNumberFormat="1" applyFont="1" applyFill="1" applyBorder="1" applyAlignment="1">
      <alignment horizontal="center" vertical="center"/>
    </xf>
    <xf numFmtId="49" fontId="53" fillId="0" borderId="3" xfId="0" applyNumberFormat="1" applyFont="1" applyFill="1" applyBorder="1" applyAlignment="1">
      <alignment horizontal="center" vertical="center"/>
    </xf>
    <xf numFmtId="49" fontId="53" fillId="0" borderId="15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1" xfId="0" applyNumberFormat="1" applyFont="1" applyFill="1" applyBorder="1" applyAlignment="1">
      <alignment horizontal="center" vertical="center"/>
    </xf>
    <xf numFmtId="49" fontId="53" fillId="0" borderId="44" xfId="0" applyNumberFormat="1" applyFont="1" applyFill="1" applyBorder="1" applyAlignment="1">
      <alignment horizontal="center" vertical="center"/>
    </xf>
    <xf numFmtId="0" fontId="47" fillId="0" borderId="63" xfId="0" applyFont="1" applyFill="1" applyBorder="1" applyAlignment="1">
      <alignment horizontal="left" vertical="center" indent="1" shrinkToFit="1"/>
    </xf>
    <xf numFmtId="0" fontId="47" fillId="0" borderId="61" xfId="0" applyFont="1" applyFill="1" applyBorder="1" applyAlignment="1">
      <alignment horizontal="left" vertical="center" indent="1" shrinkToFit="1"/>
    </xf>
    <xf numFmtId="0" fontId="47" fillId="0" borderId="64" xfId="0" applyFont="1" applyFill="1" applyBorder="1" applyAlignment="1">
      <alignment horizontal="left" vertical="center" indent="1" shrinkToFit="1"/>
    </xf>
    <xf numFmtId="0" fontId="54" fillId="0" borderId="4" xfId="0" applyFont="1" applyFill="1" applyBorder="1" applyAlignment="1">
      <alignment horizontal="center" vertical="center" shrinkToFit="1"/>
    </xf>
    <xf numFmtId="0" fontId="54" fillId="0" borderId="6" xfId="0" applyFont="1" applyFill="1" applyBorder="1" applyAlignment="1">
      <alignment horizontal="center" vertical="center" shrinkToFit="1"/>
    </xf>
    <xf numFmtId="0" fontId="54" fillId="0" borderId="16" xfId="0" applyFont="1" applyFill="1" applyBorder="1" applyAlignment="1">
      <alignment horizontal="center" vertical="center" shrinkToFit="1"/>
    </xf>
    <xf numFmtId="0" fontId="54" fillId="0" borderId="4" xfId="0" applyFont="1" applyFill="1" applyBorder="1" applyAlignment="1">
      <alignment horizontal="center" vertical="center"/>
    </xf>
    <xf numFmtId="0" fontId="54" fillId="0" borderId="6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60" fillId="0" borderId="12" xfId="0" applyNumberFormat="1" applyFont="1" applyFill="1" applyBorder="1" applyAlignment="1">
      <alignment vertical="center"/>
    </xf>
    <xf numFmtId="0" fontId="61" fillId="0" borderId="12" xfId="0" applyNumberFormat="1" applyFont="1" applyFill="1" applyBorder="1" applyAlignment="1">
      <alignment horizontal="center" vertical="center"/>
    </xf>
    <xf numFmtId="0" fontId="61" fillId="0" borderId="12" xfId="0" applyNumberFormat="1" applyFont="1" applyFill="1" applyBorder="1" applyAlignment="1">
      <alignment vertical="center"/>
    </xf>
    <xf numFmtId="0" fontId="49" fillId="0" borderId="4" xfId="0" applyNumberFormat="1" applyFont="1" applyFill="1" applyBorder="1" applyAlignment="1">
      <alignment horizontal="center" vertical="center"/>
    </xf>
    <xf numFmtId="0" fontId="49" fillId="0" borderId="16" xfId="0" applyNumberFormat="1" applyFont="1" applyFill="1" applyBorder="1" applyAlignment="1">
      <alignment horizontal="center" vertical="center"/>
    </xf>
    <xf numFmtId="0" fontId="49" fillId="0" borderId="4" xfId="0" applyNumberFormat="1" applyFont="1" applyFill="1" applyBorder="1" applyAlignment="1">
      <alignment vertical="center"/>
    </xf>
    <xf numFmtId="0" fontId="49" fillId="0" borderId="6" xfId="0" applyNumberFormat="1" applyFont="1" applyFill="1" applyBorder="1" applyAlignment="1">
      <alignment vertical="center"/>
    </xf>
    <xf numFmtId="0" fontId="49" fillId="0" borderId="16" xfId="0" applyNumberFormat="1" applyFont="1" applyFill="1" applyBorder="1" applyAlignment="1">
      <alignment vertical="center"/>
    </xf>
    <xf numFmtId="0" fontId="63" fillId="0" borderId="4" xfId="0" applyNumberFormat="1" applyFont="1" applyFill="1" applyBorder="1" applyAlignment="1">
      <alignment vertical="center"/>
    </xf>
    <xf numFmtId="0" fontId="63" fillId="0" borderId="6" xfId="0" applyNumberFormat="1" applyFont="1" applyFill="1" applyBorder="1" applyAlignment="1">
      <alignment vertical="center"/>
    </xf>
    <xf numFmtId="0" fontId="63" fillId="0" borderId="16" xfId="0" applyNumberFormat="1" applyFont="1" applyFill="1" applyBorder="1" applyAlignment="1">
      <alignment vertical="center"/>
    </xf>
    <xf numFmtId="0" fontId="47" fillId="0" borderId="2" xfId="0" applyNumberFormat="1" applyFont="1" applyFill="1" applyBorder="1" applyAlignment="1">
      <alignment horizontal="center" vertical="center" shrinkToFit="1"/>
    </xf>
    <xf numFmtId="0" fontId="47" fillId="0" borderId="3" xfId="0" applyNumberFormat="1" applyFont="1" applyFill="1" applyBorder="1" applyAlignment="1">
      <alignment horizontal="center" vertical="center" shrinkToFit="1"/>
    </xf>
    <xf numFmtId="0" fontId="47" fillId="0" borderId="15" xfId="0" applyNumberFormat="1" applyFont="1" applyFill="1" applyBorder="1" applyAlignment="1">
      <alignment horizontal="center" vertical="center" shrinkToFit="1"/>
    </xf>
    <xf numFmtId="0" fontId="47" fillId="0" borderId="10" xfId="0" applyNumberFormat="1" applyFont="1" applyFill="1" applyBorder="1" applyAlignment="1">
      <alignment horizontal="center" vertical="center" shrinkToFit="1"/>
    </xf>
    <xf numFmtId="0" fontId="47" fillId="0" borderId="11" xfId="0" applyNumberFormat="1" applyFont="1" applyFill="1" applyBorder="1" applyAlignment="1">
      <alignment horizontal="center" vertical="center" shrinkToFit="1"/>
    </xf>
    <xf numFmtId="0" fontId="47" fillId="0" borderId="44" xfId="0" applyNumberFormat="1" applyFont="1" applyFill="1" applyBorder="1" applyAlignment="1">
      <alignment horizontal="center" vertical="center" shrinkToFit="1"/>
    </xf>
    <xf numFmtId="0" fontId="8" fillId="0" borderId="12" xfId="0" applyNumberFormat="1" applyFont="1" applyFill="1" applyBorder="1" applyAlignment="1">
      <alignment vertical="center"/>
    </xf>
    <xf numFmtId="0" fontId="45" fillId="0" borderId="12" xfId="0" applyNumberFormat="1" applyFont="1" applyFill="1" applyBorder="1" applyAlignment="1">
      <alignment horizontal="center" vertical="center"/>
    </xf>
    <xf numFmtId="0" fontId="45" fillId="0" borderId="12" xfId="0" applyNumberFormat="1" applyFont="1" applyFill="1" applyBorder="1" applyAlignment="1">
      <alignment vertical="center"/>
    </xf>
    <xf numFmtId="177" fontId="14" fillId="0" borderId="6" xfId="0" applyNumberFormat="1" applyFont="1" applyFill="1" applyBorder="1" applyAlignment="1">
      <alignment horizontal="left" vertical="center" shrinkToFit="1"/>
    </xf>
    <xf numFmtId="177" fontId="14" fillId="0" borderId="16" xfId="0" applyNumberFormat="1" applyFont="1" applyFill="1" applyBorder="1" applyAlignment="1">
      <alignment horizontal="left" vertical="center" shrinkToFi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right" vertical="center" shrinkToFit="1"/>
    </xf>
    <xf numFmtId="14" fontId="8" fillId="0" borderId="6" xfId="0" applyNumberFormat="1" applyFont="1" applyFill="1" applyBorder="1" applyAlignment="1">
      <alignment horizontal="right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shrinkToFit="1"/>
    </xf>
    <xf numFmtId="179" fontId="30" fillId="0" borderId="2" xfId="0" applyNumberFormat="1" applyFont="1" applyFill="1" applyBorder="1" applyAlignment="1">
      <alignment horizontal="center" vertical="center" shrinkToFit="1"/>
    </xf>
    <xf numFmtId="179" fontId="30" fillId="0" borderId="3" xfId="0" applyNumberFormat="1" applyFont="1" applyFill="1" applyBorder="1" applyAlignment="1">
      <alignment horizontal="center" vertical="center" shrinkToFit="1"/>
    </xf>
    <xf numFmtId="179" fontId="30" fillId="0" borderId="15" xfId="0" applyNumberFormat="1" applyFont="1" applyFill="1" applyBorder="1" applyAlignment="1">
      <alignment horizontal="center" vertical="center" shrinkToFit="1"/>
    </xf>
    <xf numFmtId="179" fontId="30" fillId="0" borderId="10" xfId="0" applyNumberFormat="1" applyFont="1" applyFill="1" applyBorder="1" applyAlignment="1">
      <alignment horizontal="center" vertical="center" shrinkToFit="1"/>
    </xf>
    <xf numFmtId="179" fontId="30" fillId="0" borderId="11" xfId="0" applyNumberFormat="1" applyFont="1" applyFill="1" applyBorder="1" applyAlignment="1">
      <alignment horizontal="center" vertical="center" shrinkToFit="1"/>
    </xf>
    <xf numFmtId="179" fontId="30" fillId="0" borderId="44" xfId="0" applyNumberFormat="1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horizontal="center" vertical="center" shrinkToFit="1"/>
    </xf>
    <xf numFmtId="0" fontId="40" fillId="0" borderId="12" xfId="0" applyNumberFormat="1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/>
    </xf>
    <xf numFmtId="20" fontId="30" fillId="0" borderId="12" xfId="0" applyNumberFormat="1" applyFont="1" applyFill="1" applyBorder="1" applyAlignment="1">
      <alignment horizontal="center" vertical="center" shrinkToFit="1"/>
    </xf>
    <xf numFmtId="0" fontId="11" fillId="0" borderId="12" xfId="0" applyNumberFormat="1" applyFont="1" applyFill="1" applyBorder="1" applyAlignment="1">
      <alignment horizontal="right" vertical="center"/>
    </xf>
    <xf numFmtId="0" fontId="26" fillId="0" borderId="12" xfId="0" applyNumberFormat="1" applyFont="1" applyFill="1" applyBorder="1" applyAlignment="1">
      <alignment horizontal="right" vertical="center"/>
    </xf>
    <xf numFmtId="0" fontId="45" fillId="0" borderId="4" xfId="0" applyNumberFormat="1" applyFont="1" applyFill="1" applyBorder="1" applyAlignment="1">
      <alignment horizontal="center" vertical="center"/>
    </xf>
    <xf numFmtId="0" fontId="45" fillId="0" borderId="16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vertical="center"/>
    </xf>
    <xf numFmtId="0" fontId="27" fillId="0" borderId="3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44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6" xfId="0" applyNumberFormat="1" applyFont="1" applyFill="1" applyBorder="1" applyAlignment="1">
      <alignment horizontal="center" vertical="center" shrinkToFit="1"/>
    </xf>
    <xf numFmtId="0" fontId="8" fillId="0" borderId="16" xfId="0" applyNumberFormat="1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44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44" xfId="0" applyNumberFormat="1" applyFont="1" applyFill="1" applyBorder="1" applyAlignment="1">
      <alignment horizontal="center" vertical="center"/>
    </xf>
    <xf numFmtId="20" fontId="30" fillId="0" borderId="2" xfId="0" applyNumberFormat="1" applyFont="1" applyFill="1" applyBorder="1" applyAlignment="1">
      <alignment horizontal="center" vertical="center" shrinkToFit="1"/>
    </xf>
    <xf numFmtId="20" fontId="30" fillId="0" borderId="3" xfId="0" applyNumberFormat="1" applyFont="1" applyFill="1" applyBorder="1" applyAlignment="1">
      <alignment horizontal="center" vertical="center" shrinkToFit="1"/>
    </xf>
    <xf numFmtId="20" fontId="30" fillId="0" borderId="15" xfId="0" applyNumberFormat="1" applyFont="1" applyFill="1" applyBorder="1" applyAlignment="1">
      <alignment horizontal="center" vertical="center" shrinkToFit="1"/>
    </xf>
    <xf numFmtId="20" fontId="30" fillId="0" borderId="10" xfId="0" applyNumberFormat="1" applyFont="1" applyFill="1" applyBorder="1" applyAlignment="1">
      <alignment horizontal="center" vertical="center" shrinkToFit="1"/>
    </xf>
    <xf numFmtId="20" fontId="30" fillId="0" borderId="11" xfId="0" applyNumberFormat="1" applyFont="1" applyFill="1" applyBorder="1" applyAlignment="1">
      <alignment horizontal="center" vertical="center" shrinkToFit="1"/>
    </xf>
    <xf numFmtId="20" fontId="30" fillId="0" borderId="44" xfId="0" applyNumberFormat="1" applyFont="1" applyFill="1" applyBorder="1" applyAlignment="1">
      <alignment horizontal="center" vertical="center" shrinkToFit="1"/>
    </xf>
    <xf numFmtId="0" fontId="11" fillId="0" borderId="2" xfId="0" applyNumberFormat="1" applyFont="1" applyFill="1" applyBorder="1" applyAlignment="1">
      <alignment horizontal="right" vertical="center"/>
    </xf>
    <xf numFmtId="0" fontId="11" fillId="0" borderId="3" xfId="0" applyNumberFormat="1" applyFont="1" applyFill="1" applyBorder="1" applyAlignment="1">
      <alignment horizontal="right" vertical="center"/>
    </xf>
    <xf numFmtId="0" fontId="11" fillId="0" borderId="15" xfId="0" applyNumberFormat="1" applyFont="1" applyFill="1" applyBorder="1" applyAlignment="1">
      <alignment horizontal="right" vertical="center"/>
    </xf>
    <xf numFmtId="0" fontId="11" fillId="0" borderId="10" xfId="0" applyNumberFormat="1" applyFont="1" applyFill="1" applyBorder="1" applyAlignment="1">
      <alignment horizontal="right" vertical="center"/>
    </xf>
    <xf numFmtId="0" fontId="11" fillId="0" borderId="11" xfId="0" applyNumberFormat="1" applyFont="1" applyFill="1" applyBorder="1" applyAlignment="1">
      <alignment horizontal="right" vertical="center"/>
    </xf>
    <xf numFmtId="0" fontId="11" fillId="0" borderId="44" xfId="0" applyNumberFormat="1" applyFont="1" applyFill="1" applyBorder="1" applyAlignment="1">
      <alignment horizontal="right" vertical="center"/>
    </xf>
    <xf numFmtId="0" fontId="27" fillId="0" borderId="9" xfId="0" applyFont="1" applyFill="1" applyBorder="1" applyAlignment="1">
      <alignment vertical="center"/>
    </xf>
    <xf numFmtId="0" fontId="26" fillId="0" borderId="9" xfId="0" applyFont="1" applyFill="1" applyBorder="1" applyAlignment="1">
      <alignment vertical="center"/>
    </xf>
    <xf numFmtId="0" fontId="11" fillId="0" borderId="9" xfId="0" applyNumberFormat="1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left" vertical="center" shrinkToFit="1"/>
    </xf>
    <xf numFmtId="49" fontId="11" fillId="0" borderId="9" xfId="0" applyNumberFormat="1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vertical="center"/>
    </xf>
    <xf numFmtId="0" fontId="26" fillId="0" borderId="12" xfId="0" applyNumberFormat="1" applyFont="1" applyFill="1" applyBorder="1" applyAlignment="1">
      <alignment vertical="center"/>
    </xf>
    <xf numFmtId="179" fontId="30" fillId="0" borderId="17" xfId="0" applyNumberFormat="1" applyFont="1" applyFill="1" applyBorder="1" applyAlignment="1">
      <alignment horizontal="center" vertical="center" shrinkToFit="1"/>
    </xf>
    <xf numFmtId="179" fontId="30" fillId="0" borderId="0" xfId="0" applyNumberFormat="1" applyFont="1" applyFill="1" applyBorder="1" applyAlignment="1">
      <alignment horizontal="center" vertical="center" shrinkToFit="1"/>
    </xf>
    <xf numFmtId="179" fontId="30" fillId="0" borderId="32" xfId="0" applyNumberFormat="1" applyFont="1" applyFill="1" applyBorder="1" applyAlignment="1">
      <alignment horizontal="center" vertical="center" shrinkToFit="1"/>
    </xf>
    <xf numFmtId="0" fontId="11" fillId="0" borderId="70" xfId="0" applyFont="1" applyFill="1" applyBorder="1" applyAlignment="1">
      <alignment horizontal="center" vertical="center" shrinkToFit="1"/>
    </xf>
    <xf numFmtId="0" fontId="11" fillId="0" borderId="68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8" fillId="0" borderId="70" xfId="0" applyFont="1" applyFill="1" applyBorder="1" applyAlignment="1">
      <alignment horizontal="center" vertical="center" shrinkToFit="1"/>
    </xf>
    <xf numFmtId="0" fontId="8" fillId="0" borderId="68" xfId="0" applyFont="1" applyFill="1" applyBorder="1" applyAlignment="1">
      <alignment horizontal="center" vertical="center" shrinkToFit="1"/>
    </xf>
    <xf numFmtId="0" fontId="8" fillId="0" borderId="69" xfId="0" applyFont="1" applyFill="1" applyBorder="1" applyAlignment="1">
      <alignment horizontal="center" vertical="center" shrinkToFit="1"/>
    </xf>
    <xf numFmtId="0" fontId="9" fillId="0" borderId="70" xfId="0" applyFont="1" applyFill="1" applyBorder="1" applyAlignment="1">
      <alignment horizontal="center" vertical="center" shrinkToFit="1"/>
    </xf>
    <xf numFmtId="0" fontId="9" fillId="0" borderId="68" xfId="0" applyFont="1" applyFill="1" applyBorder="1" applyAlignment="1">
      <alignment horizontal="center" vertical="center" shrinkToFit="1"/>
    </xf>
    <xf numFmtId="0" fontId="9" fillId="0" borderId="69" xfId="0" applyFont="1" applyFill="1" applyBorder="1" applyAlignment="1">
      <alignment horizontal="center" vertical="center" shrinkToFit="1"/>
    </xf>
    <xf numFmtId="0" fontId="7" fillId="0" borderId="70" xfId="0" applyFont="1" applyFill="1" applyBorder="1" applyAlignment="1">
      <alignment horizontal="left" vertical="center" shrinkToFit="1"/>
    </xf>
    <xf numFmtId="0" fontId="7" fillId="0" borderId="68" xfId="0" applyFont="1" applyFill="1" applyBorder="1" applyAlignment="1">
      <alignment horizontal="left" vertical="center" shrinkToFit="1"/>
    </xf>
    <xf numFmtId="0" fontId="7" fillId="0" borderId="71" xfId="0" applyFont="1" applyFill="1" applyBorder="1" applyAlignment="1">
      <alignment horizontal="left" vertical="center" shrinkToFit="1"/>
    </xf>
    <xf numFmtId="0" fontId="11" fillId="0" borderId="60" xfId="0" applyFont="1" applyFill="1" applyBorder="1" applyAlignment="1">
      <alignment horizontal="center" vertical="center" shrinkToFit="1"/>
    </xf>
    <xf numFmtId="0" fontId="11" fillId="0" borderId="61" xfId="0" applyFont="1" applyFill="1" applyBorder="1" applyAlignment="1">
      <alignment horizontal="center" vertical="center" shrinkToFit="1"/>
    </xf>
    <xf numFmtId="0" fontId="11" fillId="0" borderId="62" xfId="0" applyFont="1" applyFill="1" applyBorder="1" applyAlignment="1">
      <alignment horizontal="center" vertical="center" shrinkToFit="1"/>
    </xf>
    <xf numFmtId="0" fontId="11" fillId="0" borderId="63" xfId="0" applyFont="1" applyFill="1" applyBorder="1" applyAlignment="1">
      <alignment horizontal="center" vertical="center" shrinkToFit="1"/>
    </xf>
    <xf numFmtId="0" fontId="8" fillId="0" borderId="63" xfId="0" applyFont="1" applyFill="1" applyBorder="1" applyAlignment="1">
      <alignment horizontal="center" vertical="center" shrinkToFit="1"/>
    </xf>
    <xf numFmtId="0" fontId="8" fillId="0" borderId="61" xfId="0" applyFont="1" applyFill="1" applyBorder="1" applyAlignment="1">
      <alignment horizontal="center" vertical="center" shrinkToFit="1"/>
    </xf>
    <xf numFmtId="0" fontId="8" fillId="0" borderId="62" xfId="0" applyFont="1" applyFill="1" applyBorder="1" applyAlignment="1">
      <alignment horizontal="center" vertical="center" shrinkToFit="1"/>
    </xf>
    <xf numFmtId="0" fontId="14" fillId="0" borderId="63" xfId="0" applyFont="1" applyFill="1" applyBorder="1" applyAlignment="1">
      <alignment horizontal="center" vertical="center" shrinkToFit="1"/>
    </xf>
    <xf numFmtId="0" fontId="14" fillId="0" borderId="61" xfId="0" applyFont="1" applyFill="1" applyBorder="1" applyAlignment="1">
      <alignment horizontal="center" vertical="center" shrinkToFit="1"/>
    </xf>
    <xf numFmtId="0" fontId="14" fillId="0" borderId="62" xfId="0" applyFont="1" applyFill="1" applyBorder="1" applyAlignment="1">
      <alignment horizontal="center" vertical="center" shrinkToFit="1"/>
    </xf>
    <xf numFmtId="0" fontId="7" fillId="0" borderId="63" xfId="0" applyFont="1" applyFill="1" applyBorder="1" applyAlignment="1">
      <alignment horizontal="left" vertical="center" shrinkToFit="1"/>
    </xf>
    <xf numFmtId="0" fontId="7" fillId="0" borderId="61" xfId="0" applyFont="1" applyFill="1" applyBorder="1" applyAlignment="1">
      <alignment horizontal="left" vertical="center" shrinkToFit="1"/>
    </xf>
    <xf numFmtId="0" fontId="7" fillId="0" borderId="64" xfId="0" applyFont="1" applyFill="1" applyBorder="1" applyAlignment="1">
      <alignment horizontal="left" vertical="center" shrinkToFit="1"/>
    </xf>
    <xf numFmtId="20" fontId="11" fillId="0" borderId="2" xfId="0" applyNumberFormat="1" applyFont="1" applyFill="1" applyBorder="1" applyAlignment="1">
      <alignment horizontal="center" vertical="center"/>
    </xf>
    <xf numFmtId="20" fontId="11" fillId="0" borderId="3" xfId="0" applyNumberFormat="1" applyFont="1" applyFill="1" applyBorder="1" applyAlignment="1">
      <alignment horizontal="center" vertical="center"/>
    </xf>
    <xf numFmtId="20" fontId="11" fillId="0" borderId="15" xfId="0" applyNumberFormat="1" applyFont="1" applyFill="1" applyBorder="1" applyAlignment="1">
      <alignment horizontal="center" vertical="center"/>
    </xf>
    <xf numFmtId="20" fontId="11" fillId="0" borderId="10" xfId="0" applyNumberFormat="1" applyFont="1" applyFill="1" applyBorder="1" applyAlignment="1">
      <alignment horizontal="center" vertical="center"/>
    </xf>
    <xf numFmtId="20" fontId="11" fillId="0" borderId="11" xfId="0" applyNumberFormat="1" applyFont="1" applyFill="1" applyBorder="1" applyAlignment="1">
      <alignment horizontal="center" vertical="center"/>
    </xf>
    <xf numFmtId="20" fontId="11" fillId="0" borderId="44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left" vertical="center"/>
    </xf>
    <xf numFmtId="0" fontId="11" fillId="0" borderId="3" xfId="0" applyNumberFormat="1" applyFont="1" applyFill="1" applyBorder="1" applyAlignment="1">
      <alignment horizontal="left" vertical="center"/>
    </xf>
    <xf numFmtId="0" fontId="11" fillId="0" borderId="15" xfId="0" applyNumberFormat="1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left" vertical="center"/>
    </xf>
    <xf numFmtId="0" fontId="11" fillId="0" borderId="11" xfId="0" applyNumberFormat="1" applyFont="1" applyFill="1" applyBorder="1" applyAlignment="1">
      <alignment horizontal="left" vertical="center"/>
    </xf>
    <xf numFmtId="0" fontId="11" fillId="0" borderId="44" xfId="0" applyNumberFormat="1" applyFont="1" applyFill="1" applyBorder="1" applyAlignment="1">
      <alignment horizontal="left" vertical="center"/>
    </xf>
    <xf numFmtId="0" fontId="11" fillId="0" borderId="65" xfId="0" applyFont="1" applyFill="1" applyBorder="1" applyAlignment="1">
      <alignment horizontal="center" vertical="center" shrinkToFit="1"/>
    </xf>
    <xf numFmtId="0" fontId="11" fillId="0" borderId="55" xfId="0" applyFont="1" applyFill="1" applyBorder="1" applyAlignment="1">
      <alignment horizontal="center" vertical="center" shrinkToFit="1"/>
    </xf>
    <xf numFmtId="0" fontId="11" fillId="0" borderId="56" xfId="0" applyFont="1" applyFill="1" applyBorder="1" applyAlignment="1">
      <alignment horizontal="center" vertical="center" shrinkToFit="1"/>
    </xf>
    <xf numFmtId="0" fontId="11" fillId="0" borderId="57" xfId="0" applyFont="1" applyFill="1" applyBorder="1" applyAlignment="1">
      <alignment horizontal="center" vertical="center" shrinkToFit="1"/>
    </xf>
    <xf numFmtId="0" fontId="11" fillId="0" borderId="58" xfId="0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7" fillId="0" borderId="58" xfId="0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 shrinkToFit="1"/>
    </xf>
    <xf numFmtId="0" fontId="7" fillId="0" borderId="57" xfId="0" applyFont="1" applyFill="1" applyBorder="1" applyAlignment="1">
      <alignment horizontal="center" vertical="center" shrinkToFit="1"/>
    </xf>
    <xf numFmtId="0" fontId="7" fillId="0" borderId="66" xfId="0" applyFont="1" applyFill="1" applyBorder="1" applyAlignment="1">
      <alignment horizontal="left" vertical="center" shrinkToFit="1"/>
    </xf>
    <xf numFmtId="0" fontId="7" fillId="0" borderId="59" xfId="0" applyFont="1" applyFill="1" applyBorder="1" applyAlignment="1">
      <alignment horizontal="center" vertical="center" shrinkToFit="1"/>
    </xf>
    <xf numFmtId="0" fontId="11" fillId="0" borderId="67" xfId="0" applyFont="1" applyFill="1" applyBorder="1" applyAlignment="1">
      <alignment horizontal="center" vertical="center" shrinkToFit="1"/>
    </xf>
    <xf numFmtId="0" fontId="15" fillId="0" borderId="84" xfId="38" applyFont="1" applyFill="1" applyBorder="1" applyAlignment="1">
      <alignment horizontal="center" vertical="center" shrinkToFit="1"/>
    </xf>
    <xf numFmtId="0" fontId="15" fillId="0" borderId="82" xfId="38" applyFont="1" applyFill="1" applyBorder="1" applyAlignment="1">
      <alignment horizontal="center" vertical="center" shrinkToFit="1"/>
    </xf>
    <xf numFmtId="0" fontId="15" fillId="0" borderId="83" xfId="38" applyFont="1" applyFill="1" applyBorder="1" applyAlignment="1">
      <alignment horizontal="center" vertical="center" shrinkToFit="1"/>
    </xf>
    <xf numFmtId="49" fontId="15" fillId="0" borderId="120" xfId="38" applyNumberFormat="1" applyFont="1" applyFill="1" applyBorder="1" applyAlignment="1">
      <alignment horizontal="center" vertical="center" wrapText="1"/>
    </xf>
    <xf numFmtId="49" fontId="15" fillId="0" borderId="123" xfId="38" applyNumberFormat="1" applyFont="1" applyFill="1" applyBorder="1" applyAlignment="1">
      <alignment horizontal="center" vertical="center" wrapText="1"/>
    </xf>
    <xf numFmtId="49" fontId="15" fillId="0" borderId="119" xfId="38" applyNumberFormat="1" applyFont="1" applyFill="1" applyBorder="1" applyAlignment="1">
      <alignment horizontal="center" vertical="center" wrapText="1"/>
    </xf>
    <xf numFmtId="0" fontId="15" fillId="0" borderId="85" xfId="38" applyFont="1" applyFill="1" applyBorder="1" applyAlignment="1">
      <alignment horizontal="center" vertical="center" shrinkToFit="1"/>
    </xf>
    <xf numFmtId="0" fontId="15" fillId="0" borderId="86" xfId="38" applyFont="1" applyFill="1" applyBorder="1" applyAlignment="1">
      <alignment horizontal="center" vertical="center" shrinkToFit="1"/>
    </xf>
    <xf numFmtId="0" fontId="15" fillId="0" borderId="87" xfId="38" applyFont="1" applyFill="1" applyBorder="1" applyAlignment="1">
      <alignment horizontal="center" vertical="center" shrinkToFit="1"/>
    </xf>
    <xf numFmtId="0" fontId="15" fillId="0" borderId="88" xfId="38" applyFont="1" applyFill="1" applyBorder="1" applyAlignment="1">
      <alignment horizontal="center" vertical="center" shrinkToFit="1"/>
    </xf>
    <xf numFmtId="0" fontId="15" fillId="0" borderId="0" xfId="38" applyFill="1" applyAlignment="1">
      <alignment horizontal="center" vertical="center"/>
    </xf>
    <xf numFmtId="49" fontId="15" fillId="0" borderId="52" xfId="38" applyNumberFormat="1" applyFont="1" applyFill="1" applyBorder="1" applyAlignment="1">
      <alignment horizontal="center" vertical="center" wrapText="1"/>
    </xf>
    <xf numFmtId="49" fontId="15" fillId="0" borderId="96" xfId="38" applyNumberFormat="1" applyFont="1" applyFill="1" applyBorder="1" applyAlignment="1">
      <alignment horizontal="center" vertical="center" wrapText="1"/>
    </xf>
    <xf numFmtId="49" fontId="15" fillId="0" borderId="111" xfId="38" applyNumberFormat="1" applyFont="1" applyFill="1" applyBorder="1" applyAlignment="1">
      <alignment horizontal="center" vertical="center" wrapText="1"/>
    </xf>
    <xf numFmtId="49" fontId="15" fillId="0" borderId="112" xfId="38" applyNumberFormat="1" applyFont="1" applyFill="1" applyBorder="1" applyAlignment="1">
      <alignment horizontal="center" vertical="center" wrapText="1"/>
    </xf>
    <xf numFmtId="49" fontId="15" fillId="0" borderId="113" xfId="38" applyNumberFormat="1" applyFont="1" applyFill="1" applyBorder="1" applyAlignment="1">
      <alignment horizontal="center" vertical="center" wrapText="1"/>
    </xf>
    <xf numFmtId="0" fontId="15" fillId="0" borderId="89" xfId="38" applyFont="1" applyFill="1" applyBorder="1" applyAlignment="1">
      <alignment horizontal="center" vertical="center" shrinkToFit="1"/>
    </xf>
    <xf numFmtId="49" fontId="15" fillId="0" borderId="149" xfId="38" applyNumberFormat="1" applyFont="1" applyFill="1" applyBorder="1" applyAlignment="1">
      <alignment horizontal="center" vertical="center" wrapText="1"/>
    </xf>
    <xf numFmtId="49" fontId="15" fillId="0" borderId="141" xfId="38" applyNumberFormat="1" applyFont="1" applyFill="1" applyBorder="1" applyAlignment="1">
      <alignment horizontal="center" vertical="center" wrapText="1"/>
    </xf>
    <xf numFmtId="49" fontId="15" fillId="0" borderId="142" xfId="38" applyNumberFormat="1" applyFont="1" applyFill="1" applyBorder="1" applyAlignment="1">
      <alignment horizontal="center" vertical="center" wrapText="1"/>
    </xf>
    <xf numFmtId="0" fontId="33" fillId="0" borderId="0" xfId="0" applyFont="1" applyFill="1">
      <alignment vertical="center"/>
    </xf>
    <xf numFmtId="0" fontId="32" fillId="0" borderId="0" xfId="0" applyFont="1" applyFill="1">
      <alignment vertical="center"/>
    </xf>
  </cellXfs>
  <cellStyles count="39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Excel Built-in Normal" xfId="13" xr:uid="{00000000-0005-0000-0000-00000C000000}"/>
    <cellStyle name="ハイパーリンク 2" xfId="14" xr:uid="{00000000-0005-0000-0000-00000D000000}"/>
    <cellStyle name="ハイパーリンク 3" xfId="15" xr:uid="{00000000-0005-0000-0000-00000E000000}"/>
    <cellStyle name="ハイパーリンク 4" xfId="16" xr:uid="{00000000-0005-0000-0000-00000F000000}"/>
    <cellStyle name="メモ 2" xfId="17" xr:uid="{00000000-0005-0000-0000-000010000000}"/>
    <cellStyle name="通貨 2" xfId="18" xr:uid="{00000000-0005-0000-0000-000011000000}"/>
    <cellStyle name="通貨 2 2" xfId="19" xr:uid="{00000000-0005-0000-0000-000012000000}"/>
    <cellStyle name="通貨 2_2019_U12前期リーグ戦組合せ" xfId="20" xr:uid="{00000000-0005-0000-0000-000013000000}"/>
    <cellStyle name="標準" xfId="0" builtinId="0"/>
    <cellStyle name="標準 10" xfId="21" xr:uid="{00000000-0005-0000-0000-000015000000}"/>
    <cellStyle name="標準 2" xfId="22" xr:uid="{00000000-0005-0000-0000-000016000000}"/>
    <cellStyle name="標準 2 2" xfId="23" xr:uid="{00000000-0005-0000-0000-000017000000}"/>
    <cellStyle name="標準 2 2 2" xfId="24" xr:uid="{00000000-0005-0000-0000-000018000000}"/>
    <cellStyle name="標準 2_2015-U12後期（会場変更）" xfId="25" xr:uid="{00000000-0005-0000-0000-000019000000}"/>
    <cellStyle name="標準 3" xfId="26" xr:uid="{00000000-0005-0000-0000-00001A000000}"/>
    <cellStyle name="標準 4" xfId="27" xr:uid="{00000000-0005-0000-0000-00001B000000}"/>
    <cellStyle name="標準 4 2" xfId="28" xr:uid="{00000000-0005-0000-0000-00001C000000}"/>
    <cellStyle name="標準 5" xfId="29" xr:uid="{00000000-0005-0000-0000-00001D000000}"/>
    <cellStyle name="標準 5 2" xfId="30" xr:uid="{00000000-0005-0000-0000-00001E000000}"/>
    <cellStyle name="標準 5_U12 A ブロック　 第４節結果" xfId="31" xr:uid="{00000000-0005-0000-0000-00001F000000}"/>
    <cellStyle name="標準 6" xfId="32" xr:uid="{00000000-0005-0000-0000-000020000000}"/>
    <cellStyle name="標準 7" xfId="33" xr:uid="{00000000-0005-0000-0000-000021000000}"/>
    <cellStyle name="標準 7 2" xfId="34" xr:uid="{00000000-0005-0000-0000-000022000000}"/>
    <cellStyle name="標準 8" xfId="35" xr:uid="{00000000-0005-0000-0000-000023000000}"/>
    <cellStyle name="標準 9" xfId="36" xr:uid="{00000000-0005-0000-0000-000024000000}"/>
    <cellStyle name="標準_２７年大会・リーグ戦参加表４" xfId="37" xr:uid="{00000000-0005-0000-0000-000025000000}"/>
    <cellStyle name="標準_宇都宮東部Ｕ１２リーグ日程前期" xfId="38" xr:uid="{00000000-0005-0000-0000-000026000000}"/>
  </cellStyles>
  <dxfs count="0"/>
  <tableStyles count="0" defaultTableStyle="TableStyleMedium2"/>
  <colors>
    <mruColors>
      <color rgb="FFFFFFCC"/>
      <color rgb="FFFF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45</xdr:row>
      <xdr:rowOff>47625</xdr:rowOff>
    </xdr:from>
    <xdr:to>
      <xdr:col>8</xdr:col>
      <xdr:colOff>9525</xdr:colOff>
      <xdr:row>46</xdr:row>
      <xdr:rowOff>161925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41ECD5BC-45CA-435E-962B-AA17A545E3A4}"/>
            </a:ext>
          </a:extLst>
        </xdr:cNvPr>
        <xdr:cNvCxnSpPr/>
      </xdr:nvCxnSpPr>
      <xdr:spPr>
        <a:xfrm flipH="1">
          <a:off x="2943225" y="8705850"/>
          <a:ext cx="1666875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123825</xdr:colOff>
      <xdr:row>45</xdr:row>
      <xdr:rowOff>47625</xdr:rowOff>
    </xdr:from>
    <xdr:to>
      <xdr:col>7</xdr:col>
      <xdr:colOff>409575</xdr:colOff>
      <xdr:row>49</xdr:row>
      <xdr:rowOff>9525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B1873F22-36DA-400E-8CBD-13F215C5CE71}"/>
            </a:ext>
          </a:extLst>
        </xdr:cNvPr>
        <xdr:cNvCxnSpPr/>
      </xdr:nvCxnSpPr>
      <xdr:spPr>
        <a:xfrm flipH="1">
          <a:off x="2924175" y="8705850"/>
          <a:ext cx="1657350" cy="647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257174</xdr:colOff>
      <xdr:row>46</xdr:row>
      <xdr:rowOff>104775</xdr:rowOff>
    </xdr:from>
    <xdr:to>
      <xdr:col>10</xdr:col>
      <xdr:colOff>866774</xdr:colOff>
      <xdr:row>48</xdr:row>
      <xdr:rowOff>114300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900854C0-18B2-42DE-B1F6-FCDC7D525232}"/>
            </a:ext>
          </a:extLst>
        </xdr:cNvPr>
        <xdr:cNvSpPr/>
      </xdr:nvSpPr>
      <xdr:spPr>
        <a:xfrm>
          <a:off x="4429124" y="8934450"/>
          <a:ext cx="2390775" cy="352425"/>
        </a:xfrm>
        <a:prstGeom prst="wedgeRoundRectCallout">
          <a:avLst>
            <a:gd name="adj1" fmla="val -37500"/>
            <a:gd name="adj2" fmla="val -8750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A</a:t>
          </a:r>
          <a:r>
            <a:rPr kumimoji="1" lang="ja-JP" altLang="en-US" sz="1100"/>
            <a:t>ブロック第</a:t>
          </a:r>
          <a:r>
            <a:rPr kumimoji="1" lang="en-US" altLang="ja-JP" sz="1100"/>
            <a:t>5</a:t>
          </a:r>
          <a:r>
            <a:rPr kumimoji="1" lang="ja-JP" altLang="en-US" sz="1100"/>
            <a:t>節の日程に組み込み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190501</xdr:colOff>
      <xdr:row>213</xdr:row>
      <xdr:rowOff>21167</xdr:rowOff>
    </xdr:from>
    <xdr:to>
      <xdr:col>7</xdr:col>
      <xdr:colOff>201085</xdr:colOff>
      <xdr:row>213</xdr:row>
      <xdr:rowOff>306917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79C0EDE-3D41-4866-8C21-F91149909500}"/>
            </a:ext>
          </a:extLst>
        </xdr:cNvPr>
        <xdr:cNvSpPr/>
      </xdr:nvSpPr>
      <xdr:spPr>
        <a:xfrm>
          <a:off x="1640418" y="70379167"/>
          <a:ext cx="497417" cy="2857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387</xdr:row>
      <xdr:rowOff>152400</xdr:rowOff>
    </xdr:from>
    <xdr:to>
      <xdr:col>40</xdr:col>
      <xdr:colOff>12700</xdr:colOff>
      <xdr:row>394</xdr:row>
      <xdr:rowOff>152400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EDD17BE8-1ED5-481D-8ABD-E67EFFE62245}"/>
            </a:ext>
          </a:extLst>
        </xdr:cNvPr>
        <xdr:cNvSpPr/>
      </xdr:nvSpPr>
      <xdr:spPr>
        <a:xfrm>
          <a:off x="4864100" y="104495600"/>
          <a:ext cx="5041900" cy="1689100"/>
        </a:xfrm>
        <a:prstGeom prst="wedgeRoundRectCallout">
          <a:avLst>
            <a:gd name="adj1" fmla="val -82479"/>
            <a:gd name="adj2" fmla="val -9761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このページは</a:t>
          </a:r>
          <a:r>
            <a:rPr kumimoji="1" lang="en-US" altLang="ja-JP" sz="1800"/>
            <a:t>A</a:t>
          </a:r>
          <a:r>
            <a:rPr kumimoji="1" lang="ja-JP" altLang="en-US" sz="1800"/>
            <a:t>ブロック第５節を参照</a:t>
          </a:r>
          <a:endParaRPr kumimoji="1" lang="en-US" altLang="ja-JP" sz="1800"/>
        </a:p>
        <a:p>
          <a:pPr algn="l"/>
          <a:r>
            <a:rPr kumimoji="1" lang="ja-JP" altLang="en-US" sz="1800"/>
            <a:t>（対象試合を </a:t>
          </a:r>
          <a:r>
            <a:rPr kumimoji="1" lang="en-US" altLang="ja-JP" sz="1800"/>
            <a:t>A</a:t>
          </a:r>
          <a:r>
            <a:rPr kumimoji="1" lang="ja-JP" altLang="en-US" sz="1800"/>
            <a:t>ブロック第</a:t>
          </a:r>
          <a:r>
            <a:rPr kumimoji="1" lang="en-US" altLang="ja-JP" sz="1800"/>
            <a:t>5</a:t>
          </a:r>
          <a:r>
            <a:rPr kumimoji="1" lang="ja-JP" altLang="en-US" sz="1800"/>
            <a:t>節に組み込み）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L127"/>
  <sheetViews>
    <sheetView tabSelected="1" workbookViewId="0">
      <selection activeCell="M51" sqref="M51"/>
    </sheetView>
  </sheetViews>
  <sheetFormatPr defaultColWidth="13.375" defaultRowHeight="0" customHeight="1" zeroHeight="1" x14ac:dyDescent="0.15"/>
  <cols>
    <col min="1" max="1" width="5.75" style="8" customWidth="1"/>
    <col min="2" max="2" width="8.625" style="8" customWidth="1"/>
    <col min="3" max="3" width="5.75" style="8" customWidth="1"/>
    <col min="4" max="4" width="4.75" style="8" customWidth="1"/>
    <col min="5" max="5" width="11.875" style="8" customWidth="1"/>
    <col min="6" max="6" width="6.125" style="8" customWidth="1"/>
    <col min="7" max="7" width="11.875" style="8" customWidth="1"/>
    <col min="8" max="8" width="5.625" style="8" customWidth="1"/>
    <col min="9" max="9" width="11.875" style="8" customWidth="1"/>
    <col min="10" max="10" width="5.875" style="8" customWidth="1"/>
    <col min="11" max="11" width="11.75" style="8" customWidth="1"/>
    <col min="12" max="12" width="19.625" style="8" customWidth="1"/>
    <col min="13" max="13" width="13.375" style="8" customWidth="1"/>
    <col min="14" max="16384" width="13.375" style="8"/>
  </cols>
  <sheetData>
    <row r="1" spans="2:12" ht="26.25" customHeight="1" x14ac:dyDescent="0.25">
      <c r="B1" s="429" t="s">
        <v>74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</row>
    <row r="2" spans="2:12" ht="21" customHeight="1" x14ac:dyDescent="0.25">
      <c r="B2" s="429" t="s">
        <v>49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</row>
    <row r="3" spans="2:12" ht="14.25" x14ac:dyDescent="0.15">
      <c r="B3" s="431"/>
      <c r="C3" s="432"/>
      <c r="D3" s="439" t="s">
        <v>15</v>
      </c>
      <c r="E3" s="440"/>
      <c r="F3" s="439" t="s">
        <v>16</v>
      </c>
      <c r="G3" s="440"/>
      <c r="H3" s="439" t="s">
        <v>17</v>
      </c>
      <c r="I3" s="440"/>
      <c r="J3" s="439" t="s">
        <v>18</v>
      </c>
      <c r="K3" s="440"/>
      <c r="L3" s="441" t="s">
        <v>19</v>
      </c>
    </row>
    <row r="4" spans="2:12" ht="14.25" x14ac:dyDescent="0.15">
      <c r="B4" s="433"/>
      <c r="C4" s="434"/>
      <c r="D4" s="443" t="s">
        <v>143</v>
      </c>
      <c r="E4" s="444"/>
      <c r="F4" s="443" t="s">
        <v>20</v>
      </c>
      <c r="G4" s="444"/>
      <c r="H4" s="443" t="s">
        <v>20</v>
      </c>
      <c r="I4" s="444"/>
      <c r="J4" s="443" t="s">
        <v>20</v>
      </c>
      <c r="K4" s="444"/>
      <c r="L4" s="442"/>
    </row>
    <row r="5" spans="2:12" ht="27" hidden="1" customHeight="1" x14ac:dyDescent="0.15">
      <c r="B5" s="435"/>
      <c r="C5" s="436"/>
      <c r="D5" s="452"/>
      <c r="E5" s="453"/>
      <c r="F5" s="454"/>
      <c r="G5" s="454"/>
      <c r="H5" s="454"/>
      <c r="I5" s="454"/>
      <c r="J5" s="454"/>
      <c r="K5" s="455"/>
      <c r="L5" s="24" t="s">
        <v>48</v>
      </c>
    </row>
    <row r="6" spans="2:12" ht="27" hidden="1" customHeight="1" x14ac:dyDescent="0.15">
      <c r="B6" s="435"/>
      <c r="C6" s="436"/>
      <c r="D6" s="456"/>
      <c r="E6" s="457"/>
      <c r="F6" s="458"/>
      <c r="G6" s="458"/>
      <c r="H6" s="458"/>
      <c r="I6" s="458"/>
      <c r="J6" s="458"/>
      <c r="K6" s="459"/>
      <c r="L6" s="19" t="s">
        <v>47</v>
      </c>
    </row>
    <row r="7" spans="2:12" ht="27" hidden="1" customHeight="1" x14ac:dyDescent="0.15">
      <c r="B7" s="435"/>
      <c r="C7" s="436"/>
      <c r="D7" s="448"/>
      <c r="E7" s="449"/>
      <c r="F7" s="450"/>
      <c r="G7" s="450"/>
      <c r="H7" s="450"/>
      <c r="I7" s="450"/>
      <c r="J7" s="450"/>
      <c r="K7" s="451"/>
      <c r="L7" s="19" t="s">
        <v>46</v>
      </c>
    </row>
    <row r="8" spans="2:12" ht="27" hidden="1" customHeight="1" x14ac:dyDescent="0.15">
      <c r="B8" s="435"/>
      <c r="C8" s="436"/>
      <c r="D8" s="448"/>
      <c r="E8" s="449"/>
      <c r="F8" s="450"/>
      <c r="G8" s="450"/>
      <c r="H8" s="450"/>
      <c r="I8" s="450"/>
      <c r="J8" s="450"/>
      <c r="K8" s="451"/>
      <c r="L8" s="19" t="s">
        <v>45</v>
      </c>
    </row>
    <row r="9" spans="2:12" ht="27" hidden="1" customHeight="1" x14ac:dyDescent="0.15">
      <c r="B9" s="437"/>
      <c r="C9" s="438"/>
      <c r="D9" s="445"/>
      <c r="E9" s="446"/>
      <c r="F9" s="446"/>
      <c r="G9" s="446"/>
      <c r="H9" s="446"/>
      <c r="I9" s="446"/>
      <c r="J9" s="446"/>
      <c r="K9" s="447"/>
      <c r="L9" s="23" t="s">
        <v>44</v>
      </c>
    </row>
    <row r="10" spans="2:12" ht="27" customHeight="1" x14ac:dyDescent="0.15">
      <c r="B10" s="460">
        <v>1</v>
      </c>
      <c r="C10" s="461"/>
      <c r="D10" s="462" t="s">
        <v>243</v>
      </c>
      <c r="E10" s="462"/>
      <c r="F10" s="462" t="s">
        <v>292</v>
      </c>
      <c r="G10" s="462"/>
      <c r="H10" s="462" t="s">
        <v>226</v>
      </c>
      <c r="I10" s="462"/>
      <c r="J10" s="462" t="s">
        <v>218</v>
      </c>
      <c r="K10" s="462"/>
      <c r="L10" s="21"/>
    </row>
    <row r="11" spans="2:12" ht="27" customHeight="1" x14ac:dyDescent="0.15">
      <c r="B11" s="460">
        <v>2</v>
      </c>
      <c r="C11" s="461"/>
      <c r="D11" s="463" t="s">
        <v>244</v>
      </c>
      <c r="E11" s="463"/>
      <c r="F11" s="463" t="s">
        <v>211</v>
      </c>
      <c r="G11" s="463"/>
      <c r="H11" s="464" t="s">
        <v>227</v>
      </c>
      <c r="I11" s="464"/>
      <c r="J11" s="462" t="s">
        <v>210</v>
      </c>
      <c r="K11" s="462"/>
      <c r="L11" s="21"/>
    </row>
    <row r="12" spans="2:12" ht="27" customHeight="1" x14ac:dyDescent="0.15">
      <c r="B12" s="460">
        <v>3</v>
      </c>
      <c r="C12" s="461"/>
      <c r="D12" s="462" t="s">
        <v>297</v>
      </c>
      <c r="E12" s="462"/>
      <c r="F12" s="462" t="s">
        <v>249</v>
      </c>
      <c r="G12" s="462"/>
      <c r="H12" s="462" t="s">
        <v>233</v>
      </c>
      <c r="I12" s="462"/>
      <c r="J12" s="462" t="s">
        <v>221</v>
      </c>
      <c r="K12" s="462"/>
      <c r="L12" s="21"/>
    </row>
    <row r="13" spans="2:12" ht="27" customHeight="1" x14ac:dyDescent="0.15">
      <c r="B13" s="460">
        <v>4</v>
      </c>
      <c r="C13" s="461"/>
      <c r="D13" s="463" t="s">
        <v>242</v>
      </c>
      <c r="E13" s="463"/>
      <c r="F13" s="464" t="s">
        <v>213</v>
      </c>
      <c r="G13" s="464"/>
      <c r="H13" s="465" t="s">
        <v>212</v>
      </c>
      <c r="I13" s="466"/>
      <c r="J13" s="464" t="s">
        <v>216</v>
      </c>
      <c r="K13" s="464"/>
      <c r="L13" s="22"/>
    </row>
    <row r="14" spans="2:12" ht="27" customHeight="1" x14ac:dyDescent="0.15">
      <c r="B14" s="460">
        <v>5</v>
      </c>
      <c r="C14" s="461"/>
      <c r="D14" s="462" t="s">
        <v>245</v>
      </c>
      <c r="E14" s="462"/>
      <c r="F14" s="462" t="s">
        <v>222</v>
      </c>
      <c r="G14" s="462"/>
      <c r="H14" s="462" t="s">
        <v>220</v>
      </c>
      <c r="I14" s="462"/>
      <c r="J14" s="462" t="s">
        <v>215</v>
      </c>
      <c r="K14" s="462"/>
      <c r="L14" s="21"/>
    </row>
    <row r="15" spans="2:12" ht="27" customHeight="1" x14ac:dyDescent="0.15">
      <c r="B15" s="460">
        <v>6</v>
      </c>
      <c r="C15" s="461"/>
      <c r="D15" s="463" t="s">
        <v>246</v>
      </c>
      <c r="E15" s="463"/>
      <c r="F15" s="462" t="s">
        <v>223</v>
      </c>
      <c r="G15" s="462"/>
      <c r="H15" s="462" t="s">
        <v>217</v>
      </c>
      <c r="I15" s="462"/>
      <c r="J15" s="462" t="s">
        <v>225</v>
      </c>
      <c r="K15" s="462"/>
      <c r="L15" s="21"/>
    </row>
    <row r="16" spans="2:12" ht="27" customHeight="1" x14ac:dyDescent="0.15">
      <c r="B16" s="460">
        <v>7</v>
      </c>
      <c r="C16" s="461"/>
      <c r="D16" s="462" t="s">
        <v>34</v>
      </c>
      <c r="E16" s="462"/>
      <c r="F16" s="462" t="s">
        <v>224</v>
      </c>
      <c r="G16" s="462"/>
      <c r="H16" s="467" t="s">
        <v>228</v>
      </c>
      <c r="I16" s="468"/>
      <c r="J16" s="463" t="s">
        <v>231</v>
      </c>
      <c r="K16" s="463"/>
      <c r="L16" s="21"/>
    </row>
    <row r="17" spans="1:12" ht="27" customHeight="1" x14ac:dyDescent="0.15">
      <c r="B17" s="460">
        <v>8</v>
      </c>
      <c r="C17" s="461"/>
      <c r="D17" s="463" t="s">
        <v>247</v>
      </c>
      <c r="E17" s="463"/>
      <c r="F17" s="462" t="s">
        <v>229</v>
      </c>
      <c r="G17" s="462"/>
      <c r="H17" s="462" t="s">
        <v>209</v>
      </c>
      <c r="I17" s="462"/>
      <c r="J17" s="462" t="s">
        <v>232</v>
      </c>
      <c r="K17" s="462"/>
      <c r="L17" s="21"/>
    </row>
    <row r="18" spans="1:12" ht="27" customHeight="1" x14ac:dyDescent="0.15">
      <c r="B18" s="460">
        <v>9</v>
      </c>
      <c r="C18" s="461"/>
      <c r="D18" s="463" t="s">
        <v>248</v>
      </c>
      <c r="E18" s="463"/>
      <c r="F18" s="462" t="s">
        <v>230</v>
      </c>
      <c r="G18" s="462"/>
      <c r="H18" s="462" t="s">
        <v>219</v>
      </c>
      <c r="I18" s="462"/>
      <c r="J18" s="462" t="s">
        <v>214</v>
      </c>
      <c r="K18" s="462"/>
      <c r="L18" s="22"/>
    </row>
    <row r="19" spans="1:12" ht="27" customHeight="1" thickBot="1" x14ac:dyDescent="0.2">
      <c r="B19" s="476">
        <v>10</v>
      </c>
      <c r="C19" s="477"/>
      <c r="D19" s="478" t="s">
        <v>290</v>
      </c>
      <c r="E19" s="478"/>
      <c r="F19" s="469"/>
      <c r="G19" s="469"/>
      <c r="H19" s="469"/>
      <c r="I19" s="469"/>
      <c r="J19" s="469"/>
      <c r="K19" s="469"/>
      <c r="L19" s="20"/>
    </row>
    <row r="20" spans="1:12" ht="27" hidden="1" customHeight="1" x14ac:dyDescent="0.15">
      <c r="B20" s="474">
        <v>11</v>
      </c>
      <c r="C20" s="475"/>
      <c r="D20" s="463" t="s">
        <v>89</v>
      </c>
      <c r="E20" s="463"/>
      <c r="F20" s="470"/>
      <c r="G20" s="471"/>
      <c r="H20" s="470"/>
      <c r="I20" s="471"/>
      <c r="J20" s="470"/>
      <c r="K20" s="471"/>
      <c r="L20" s="19"/>
    </row>
    <row r="21" spans="1:12" ht="13.5" customHeight="1" thickTop="1" x14ac:dyDescent="0.15">
      <c r="B21" s="487">
        <v>44296</v>
      </c>
      <c r="C21" s="479" t="s">
        <v>24</v>
      </c>
      <c r="D21" s="482" t="s">
        <v>21</v>
      </c>
      <c r="E21" s="66" t="s">
        <v>234</v>
      </c>
      <c r="F21" s="472" t="s">
        <v>43</v>
      </c>
      <c r="G21" s="66" t="s">
        <v>291</v>
      </c>
      <c r="H21" s="472" t="s">
        <v>43</v>
      </c>
      <c r="I21" s="66" t="s">
        <v>238</v>
      </c>
      <c r="J21" s="472" t="s">
        <v>43</v>
      </c>
      <c r="K21" s="66" t="s">
        <v>239</v>
      </c>
      <c r="L21" s="15"/>
    </row>
    <row r="22" spans="1:12" s="18" customFormat="1" ht="13.5" customHeight="1" x14ac:dyDescent="0.15">
      <c r="A22" s="8"/>
      <c r="B22" s="487"/>
      <c r="C22" s="480"/>
      <c r="D22" s="482"/>
      <c r="E22" s="67" t="s">
        <v>169</v>
      </c>
      <c r="F22" s="472"/>
      <c r="G22" s="68" t="s">
        <v>144</v>
      </c>
      <c r="H22" s="472"/>
      <c r="I22" s="68" t="s">
        <v>156</v>
      </c>
      <c r="J22" s="472"/>
      <c r="K22" s="68" t="s">
        <v>157</v>
      </c>
      <c r="L22" s="14"/>
    </row>
    <row r="23" spans="1:12" ht="13.5" customHeight="1" x14ac:dyDescent="0.15">
      <c r="B23" s="487"/>
      <c r="C23" s="480"/>
      <c r="D23" s="482"/>
      <c r="E23" s="69" t="s">
        <v>235</v>
      </c>
      <c r="F23" s="472"/>
      <c r="G23" s="66" t="s">
        <v>237</v>
      </c>
      <c r="H23" s="472"/>
      <c r="I23" s="66" t="s">
        <v>258</v>
      </c>
      <c r="J23" s="472"/>
      <c r="K23" s="66" t="s">
        <v>259</v>
      </c>
      <c r="L23" s="14"/>
    </row>
    <row r="24" spans="1:12" ht="13.5" customHeight="1" x14ac:dyDescent="0.15">
      <c r="B24" s="489"/>
      <c r="C24" s="481"/>
      <c r="D24" s="483"/>
      <c r="E24" s="70" t="s">
        <v>170</v>
      </c>
      <c r="F24" s="473"/>
      <c r="G24" s="70" t="s">
        <v>145</v>
      </c>
      <c r="H24" s="473"/>
      <c r="I24" s="70" t="s">
        <v>274</v>
      </c>
      <c r="J24" s="473"/>
      <c r="K24" s="70" t="s">
        <v>158</v>
      </c>
      <c r="L24" s="14"/>
    </row>
    <row r="25" spans="1:12" ht="13.5" customHeight="1" x14ac:dyDescent="0.15">
      <c r="B25" s="489"/>
      <c r="C25" s="481"/>
      <c r="D25" s="483"/>
      <c r="E25" s="67" t="s">
        <v>236</v>
      </c>
      <c r="F25" s="473"/>
      <c r="G25" s="71" t="s">
        <v>257</v>
      </c>
      <c r="H25" s="473"/>
      <c r="I25" s="71" t="s">
        <v>260</v>
      </c>
      <c r="J25" s="473"/>
      <c r="K25" s="71" t="s">
        <v>240</v>
      </c>
      <c r="L25" s="14"/>
    </row>
    <row r="26" spans="1:12" ht="13.5" customHeight="1" x14ac:dyDescent="0.15">
      <c r="B26" s="487"/>
      <c r="C26" s="480"/>
      <c r="D26" s="483"/>
      <c r="E26" s="70" t="s">
        <v>178</v>
      </c>
      <c r="F26" s="472"/>
      <c r="G26" s="70" t="s">
        <v>146</v>
      </c>
      <c r="H26" s="472"/>
      <c r="I26" s="70" t="s">
        <v>273</v>
      </c>
      <c r="J26" s="472"/>
      <c r="K26" s="70" t="s">
        <v>159</v>
      </c>
      <c r="L26" s="17"/>
    </row>
    <row r="27" spans="1:12" ht="13.5" customHeight="1" x14ac:dyDescent="0.15">
      <c r="B27" s="486">
        <v>44310</v>
      </c>
      <c r="C27" s="488" t="s">
        <v>24</v>
      </c>
      <c r="D27" s="482" t="s">
        <v>23</v>
      </c>
      <c r="E27" s="72" t="s">
        <v>349</v>
      </c>
      <c r="F27" s="484" t="s">
        <v>42</v>
      </c>
      <c r="G27" s="72" t="s">
        <v>351</v>
      </c>
      <c r="H27" s="484" t="s">
        <v>42</v>
      </c>
      <c r="I27" s="72" t="s">
        <v>354</v>
      </c>
      <c r="J27" s="484" t="s">
        <v>42</v>
      </c>
      <c r="K27" s="72" t="s">
        <v>356</v>
      </c>
      <c r="L27" s="15"/>
    </row>
    <row r="28" spans="1:12" ht="13.5" customHeight="1" x14ac:dyDescent="0.15">
      <c r="B28" s="486"/>
      <c r="C28" s="488"/>
      <c r="D28" s="482"/>
      <c r="E28" s="73" t="s">
        <v>171</v>
      </c>
      <c r="F28" s="484"/>
      <c r="G28" s="73" t="s">
        <v>147</v>
      </c>
      <c r="H28" s="484"/>
      <c r="I28" s="73" t="s">
        <v>280</v>
      </c>
      <c r="J28" s="484"/>
      <c r="K28" s="73" t="s">
        <v>160</v>
      </c>
      <c r="L28" s="14"/>
    </row>
    <row r="29" spans="1:12" ht="13.5" customHeight="1" x14ac:dyDescent="0.15">
      <c r="B29" s="486"/>
      <c r="C29" s="488"/>
      <c r="D29" s="482"/>
      <c r="E29" s="74" t="s">
        <v>374</v>
      </c>
      <c r="F29" s="484"/>
      <c r="G29" s="74" t="s">
        <v>352</v>
      </c>
      <c r="H29" s="484"/>
      <c r="I29" s="74" t="s">
        <v>259</v>
      </c>
      <c r="J29" s="484"/>
      <c r="K29" s="74" t="s">
        <v>357</v>
      </c>
      <c r="L29" s="14"/>
    </row>
    <row r="30" spans="1:12" ht="13.5" customHeight="1" x14ac:dyDescent="0.15">
      <c r="B30" s="486"/>
      <c r="C30" s="488"/>
      <c r="D30" s="482"/>
      <c r="E30" s="75" t="s">
        <v>172</v>
      </c>
      <c r="F30" s="484"/>
      <c r="G30" s="75" t="s">
        <v>148</v>
      </c>
      <c r="H30" s="484"/>
      <c r="I30" s="75" t="s">
        <v>281</v>
      </c>
      <c r="J30" s="484"/>
      <c r="K30" s="75" t="s">
        <v>161</v>
      </c>
      <c r="L30" s="14"/>
    </row>
    <row r="31" spans="1:12" ht="13.5" customHeight="1" x14ac:dyDescent="0.15">
      <c r="B31" s="486"/>
      <c r="C31" s="488"/>
      <c r="D31" s="482"/>
      <c r="E31" s="73" t="s">
        <v>350</v>
      </c>
      <c r="F31" s="484"/>
      <c r="G31" s="73" t="s">
        <v>353</v>
      </c>
      <c r="H31" s="484"/>
      <c r="I31" s="73" t="s">
        <v>355</v>
      </c>
      <c r="J31" s="484"/>
      <c r="K31" s="66" t="s">
        <v>358</v>
      </c>
      <c r="L31" s="14"/>
    </row>
    <row r="32" spans="1:12" ht="13.5" customHeight="1" x14ac:dyDescent="0.15">
      <c r="B32" s="487"/>
      <c r="C32" s="480"/>
      <c r="D32" s="482"/>
      <c r="E32" s="76" t="s">
        <v>179</v>
      </c>
      <c r="F32" s="472"/>
      <c r="G32" s="76" t="s">
        <v>149</v>
      </c>
      <c r="H32" s="472"/>
      <c r="I32" s="76" t="s">
        <v>282</v>
      </c>
      <c r="J32" s="472"/>
      <c r="K32" s="76" t="s">
        <v>162</v>
      </c>
      <c r="L32" s="16"/>
    </row>
    <row r="33" spans="2:12" ht="13.5" customHeight="1" x14ac:dyDescent="0.15">
      <c r="B33" s="486">
        <v>44325</v>
      </c>
      <c r="C33" s="488" t="s">
        <v>22</v>
      </c>
      <c r="D33" s="482" t="s">
        <v>25</v>
      </c>
      <c r="E33" s="229" t="s">
        <v>359</v>
      </c>
      <c r="F33" s="485" t="s">
        <v>25</v>
      </c>
      <c r="G33" s="72" t="s">
        <v>353</v>
      </c>
      <c r="H33" s="485" t="s">
        <v>25</v>
      </c>
      <c r="I33" s="72" t="s">
        <v>358</v>
      </c>
      <c r="J33" s="484" t="s">
        <v>41</v>
      </c>
      <c r="K33" s="229" t="s">
        <v>365</v>
      </c>
      <c r="L33" s="15"/>
    </row>
    <row r="34" spans="2:12" ht="13.5" customHeight="1" x14ac:dyDescent="0.15">
      <c r="B34" s="486"/>
      <c r="C34" s="488"/>
      <c r="D34" s="482"/>
      <c r="E34" s="73" t="s">
        <v>173</v>
      </c>
      <c r="F34" s="485"/>
      <c r="G34" s="73" t="s">
        <v>150</v>
      </c>
      <c r="H34" s="485"/>
      <c r="I34" s="73" t="s">
        <v>283</v>
      </c>
      <c r="J34" s="484"/>
      <c r="K34" s="73" t="s">
        <v>163</v>
      </c>
      <c r="L34" s="14"/>
    </row>
    <row r="35" spans="2:12" ht="13.5" customHeight="1" x14ac:dyDescent="0.15">
      <c r="B35" s="486"/>
      <c r="C35" s="488"/>
      <c r="D35" s="482"/>
      <c r="E35" s="229" t="s">
        <v>360</v>
      </c>
      <c r="F35" s="485"/>
      <c r="G35" s="74" t="s">
        <v>362</v>
      </c>
      <c r="H35" s="485"/>
      <c r="I35" s="74" t="s">
        <v>363</v>
      </c>
      <c r="J35" s="484"/>
      <c r="K35" s="229" t="s">
        <v>366</v>
      </c>
      <c r="L35" s="14"/>
    </row>
    <row r="36" spans="2:12" ht="13.5" customHeight="1" x14ac:dyDescent="0.15">
      <c r="B36" s="486"/>
      <c r="C36" s="488"/>
      <c r="D36" s="482"/>
      <c r="E36" s="75" t="s">
        <v>180</v>
      </c>
      <c r="F36" s="485"/>
      <c r="G36" s="75" t="s">
        <v>151</v>
      </c>
      <c r="H36" s="485"/>
      <c r="I36" s="75" t="s">
        <v>284</v>
      </c>
      <c r="J36" s="484"/>
      <c r="K36" s="75" t="s">
        <v>164</v>
      </c>
      <c r="L36" s="14"/>
    </row>
    <row r="37" spans="2:12" ht="13.5" customHeight="1" x14ac:dyDescent="0.15">
      <c r="B37" s="486"/>
      <c r="C37" s="488"/>
      <c r="D37" s="482"/>
      <c r="E37" s="73" t="s">
        <v>361</v>
      </c>
      <c r="F37" s="485"/>
      <c r="G37" s="73" t="s">
        <v>355</v>
      </c>
      <c r="H37" s="485"/>
      <c r="I37" s="231" t="s">
        <v>364</v>
      </c>
      <c r="J37" s="484"/>
      <c r="K37" s="66" t="s">
        <v>367</v>
      </c>
      <c r="L37" s="14"/>
    </row>
    <row r="38" spans="2:12" ht="13.5" customHeight="1" x14ac:dyDescent="0.15">
      <c r="B38" s="487"/>
      <c r="C38" s="480"/>
      <c r="D38" s="482"/>
      <c r="E38" s="76" t="s">
        <v>174</v>
      </c>
      <c r="F38" s="485"/>
      <c r="G38" s="76" t="s">
        <v>152</v>
      </c>
      <c r="H38" s="485"/>
      <c r="I38" s="76" t="s">
        <v>285</v>
      </c>
      <c r="J38" s="472"/>
      <c r="K38" s="76" t="s">
        <v>165</v>
      </c>
      <c r="L38" s="16"/>
    </row>
    <row r="39" spans="2:12" ht="13.5" customHeight="1" x14ac:dyDescent="0.15">
      <c r="B39" s="486">
        <v>44353</v>
      </c>
      <c r="C39" s="488" t="s">
        <v>22</v>
      </c>
      <c r="D39" s="482" t="s">
        <v>26</v>
      </c>
      <c r="E39" s="229" t="s">
        <v>368</v>
      </c>
      <c r="F39" s="485" t="s">
        <v>26</v>
      </c>
      <c r="G39" s="229" t="s">
        <v>351</v>
      </c>
      <c r="H39" s="485" t="s">
        <v>26</v>
      </c>
      <c r="I39" s="229" t="s">
        <v>354</v>
      </c>
      <c r="J39" s="484" t="s">
        <v>40</v>
      </c>
      <c r="K39" s="229" t="s">
        <v>371</v>
      </c>
      <c r="L39" s="15"/>
    </row>
    <row r="40" spans="2:12" ht="13.5" customHeight="1" x14ac:dyDescent="0.15">
      <c r="B40" s="486"/>
      <c r="C40" s="488"/>
      <c r="D40" s="482"/>
      <c r="E40" s="73" t="s">
        <v>175</v>
      </c>
      <c r="F40" s="485"/>
      <c r="G40" s="73" t="s">
        <v>153</v>
      </c>
      <c r="H40" s="485"/>
      <c r="I40" s="73" t="s">
        <v>286</v>
      </c>
      <c r="J40" s="484"/>
      <c r="K40" s="73" t="s">
        <v>166</v>
      </c>
      <c r="L40" s="14"/>
    </row>
    <row r="41" spans="2:12" ht="13.5" customHeight="1" x14ac:dyDescent="0.15">
      <c r="B41" s="486"/>
      <c r="C41" s="488"/>
      <c r="D41" s="482"/>
      <c r="E41" s="229" t="s">
        <v>359</v>
      </c>
      <c r="F41" s="485"/>
      <c r="G41" s="229" t="s">
        <v>353</v>
      </c>
      <c r="H41" s="485"/>
      <c r="I41" s="229" t="s">
        <v>372</v>
      </c>
      <c r="J41" s="484"/>
      <c r="K41" s="229" t="s">
        <v>356</v>
      </c>
      <c r="L41" s="14"/>
    </row>
    <row r="42" spans="2:12" ht="13.5" customHeight="1" x14ac:dyDescent="0.15">
      <c r="B42" s="486"/>
      <c r="C42" s="488"/>
      <c r="D42" s="482"/>
      <c r="E42" s="75" t="s">
        <v>176</v>
      </c>
      <c r="F42" s="485"/>
      <c r="G42" s="75" t="s">
        <v>154</v>
      </c>
      <c r="H42" s="485"/>
      <c r="I42" s="75" t="s">
        <v>287</v>
      </c>
      <c r="J42" s="484"/>
      <c r="K42" s="75" t="s">
        <v>167</v>
      </c>
      <c r="L42" s="14"/>
    </row>
    <row r="43" spans="2:12" ht="13.5" customHeight="1" x14ac:dyDescent="0.15">
      <c r="B43" s="486"/>
      <c r="C43" s="488"/>
      <c r="D43" s="482"/>
      <c r="E43" s="229" t="s">
        <v>369</v>
      </c>
      <c r="F43" s="485"/>
      <c r="G43" s="229" t="s">
        <v>370</v>
      </c>
      <c r="H43" s="485"/>
      <c r="I43" s="229" t="s">
        <v>365</v>
      </c>
      <c r="J43" s="484"/>
      <c r="K43" s="229" t="s">
        <v>360</v>
      </c>
      <c r="L43" s="14"/>
    </row>
    <row r="44" spans="2:12" ht="13.5" customHeight="1" x14ac:dyDescent="0.15">
      <c r="B44" s="487"/>
      <c r="C44" s="480"/>
      <c r="D44" s="482"/>
      <c r="E44" s="76" t="s">
        <v>181</v>
      </c>
      <c r="F44" s="485"/>
      <c r="G44" s="76" t="s">
        <v>155</v>
      </c>
      <c r="H44" s="485"/>
      <c r="I44" s="76" t="s">
        <v>462</v>
      </c>
      <c r="J44" s="472"/>
      <c r="K44" s="76" t="s">
        <v>168</v>
      </c>
      <c r="L44" s="16"/>
    </row>
    <row r="45" spans="2:12" ht="13.5" customHeight="1" x14ac:dyDescent="0.15">
      <c r="B45" s="486">
        <v>44387</v>
      </c>
      <c r="C45" s="488" t="s">
        <v>141</v>
      </c>
      <c r="D45" s="482" t="s">
        <v>140</v>
      </c>
      <c r="E45" s="229" t="s">
        <v>368</v>
      </c>
      <c r="F45" s="484"/>
      <c r="G45" s="229"/>
      <c r="H45" s="484"/>
      <c r="I45" s="229" t="s">
        <v>465</v>
      </c>
      <c r="J45" s="484"/>
      <c r="K45" s="72"/>
      <c r="L45" s="15"/>
    </row>
    <row r="46" spans="2:12" ht="13.5" customHeight="1" x14ac:dyDescent="0.15">
      <c r="B46" s="486"/>
      <c r="C46" s="488"/>
      <c r="D46" s="482"/>
      <c r="E46" s="73" t="s">
        <v>177</v>
      </c>
      <c r="F46" s="484"/>
      <c r="G46" s="73"/>
      <c r="H46" s="484"/>
      <c r="I46" s="73" t="s">
        <v>288</v>
      </c>
      <c r="J46" s="484"/>
      <c r="K46" s="73"/>
      <c r="L46" s="14"/>
    </row>
    <row r="47" spans="2:12" ht="13.5" customHeight="1" x14ac:dyDescent="0.15">
      <c r="B47" s="486"/>
      <c r="C47" s="488"/>
      <c r="D47" s="482"/>
      <c r="E47" s="389" t="s">
        <v>466</v>
      </c>
      <c r="F47" s="484"/>
      <c r="G47" s="74"/>
      <c r="H47" s="484"/>
      <c r="I47" s="74"/>
      <c r="J47" s="484"/>
      <c r="K47" s="74"/>
      <c r="L47" s="14"/>
    </row>
    <row r="48" spans="2:12" ht="13.5" customHeight="1" x14ac:dyDescent="0.15">
      <c r="B48" s="486"/>
      <c r="C48" s="488"/>
      <c r="D48" s="482"/>
      <c r="E48" s="75" t="s">
        <v>566</v>
      </c>
      <c r="F48" s="484"/>
      <c r="G48" s="75"/>
      <c r="H48" s="484"/>
      <c r="I48" s="75"/>
      <c r="J48" s="484"/>
      <c r="K48" s="75"/>
      <c r="L48" s="14"/>
    </row>
    <row r="49" spans="2:12" ht="13.5" customHeight="1" x14ac:dyDescent="0.15">
      <c r="B49" s="486"/>
      <c r="C49" s="488"/>
      <c r="D49" s="482"/>
      <c r="E49" s="230" t="s">
        <v>373</v>
      </c>
      <c r="F49" s="484"/>
      <c r="G49" s="73"/>
      <c r="H49" s="484"/>
      <c r="I49" s="73"/>
      <c r="J49" s="484"/>
      <c r="K49" s="66"/>
      <c r="L49" s="14"/>
    </row>
    <row r="50" spans="2:12" ht="13.5" customHeight="1" x14ac:dyDescent="0.15">
      <c r="B50" s="487"/>
      <c r="C50" s="480"/>
      <c r="D50" s="482"/>
      <c r="E50" s="76" t="s">
        <v>565</v>
      </c>
      <c r="F50" s="472"/>
      <c r="G50" s="76"/>
      <c r="H50" s="472"/>
      <c r="I50" s="76"/>
      <c r="J50" s="472"/>
      <c r="K50" s="76"/>
      <c r="L50" s="16"/>
    </row>
    <row r="51" spans="2:12" ht="13.5" customHeight="1" x14ac:dyDescent="0.15">
      <c r="B51" s="486">
        <v>44388</v>
      </c>
      <c r="C51" s="488" t="s">
        <v>22</v>
      </c>
      <c r="D51" s="519" t="s">
        <v>142</v>
      </c>
      <c r="E51" s="72"/>
      <c r="F51" s="484"/>
      <c r="G51" s="72"/>
      <c r="H51" s="484"/>
      <c r="I51" s="72"/>
      <c r="J51" s="484"/>
      <c r="K51" s="72"/>
      <c r="L51" s="15"/>
    </row>
    <row r="52" spans="2:12" ht="13.5" customHeight="1" x14ac:dyDescent="0.15">
      <c r="B52" s="486"/>
      <c r="C52" s="488"/>
      <c r="D52" s="519"/>
      <c r="E52" s="73"/>
      <c r="F52" s="484"/>
      <c r="G52" s="73"/>
      <c r="H52" s="484"/>
      <c r="I52" s="73"/>
      <c r="J52" s="484"/>
      <c r="K52" s="73"/>
      <c r="L52" s="14"/>
    </row>
    <row r="53" spans="2:12" ht="13.5" customHeight="1" x14ac:dyDescent="0.15">
      <c r="B53" s="486"/>
      <c r="C53" s="488"/>
      <c r="D53" s="519"/>
      <c r="E53" s="74"/>
      <c r="F53" s="484"/>
      <c r="G53" s="74"/>
      <c r="H53" s="484"/>
      <c r="I53" s="74"/>
      <c r="J53" s="484"/>
      <c r="K53" s="74"/>
      <c r="L53" s="14"/>
    </row>
    <row r="54" spans="2:12" ht="13.5" customHeight="1" x14ac:dyDescent="0.15">
      <c r="B54" s="486"/>
      <c r="C54" s="488"/>
      <c r="D54" s="519"/>
      <c r="E54" s="75"/>
      <c r="F54" s="484"/>
      <c r="G54" s="75"/>
      <c r="H54" s="484"/>
      <c r="I54" s="75"/>
      <c r="J54" s="484"/>
      <c r="K54" s="75"/>
      <c r="L54" s="14"/>
    </row>
    <row r="55" spans="2:12" ht="13.5" customHeight="1" x14ac:dyDescent="0.15">
      <c r="B55" s="486"/>
      <c r="C55" s="488"/>
      <c r="D55" s="519"/>
      <c r="E55" s="73"/>
      <c r="F55" s="484"/>
      <c r="G55" s="73"/>
      <c r="H55" s="484"/>
      <c r="I55" s="73"/>
      <c r="J55" s="484"/>
      <c r="K55" s="66"/>
      <c r="L55" s="14"/>
    </row>
    <row r="56" spans="2:12" ht="13.5" customHeight="1" x14ac:dyDescent="0.15">
      <c r="B56" s="487"/>
      <c r="C56" s="480"/>
      <c r="D56" s="519"/>
      <c r="E56" s="76"/>
      <c r="F56" s="472"/>
      <c r="G56" s="76"/>
      <c r="H56" s="472"/>
      <c r="I56" s="76"/>
      <c r="J56" s="472"/>
      <c r="K56" s="76"/>
      <c r="L56" s="16"/>
    </row>
    <row r="57" spans="2:12" ht="14.25" x14ac:dyDescent="0.2">
      <c r="B57" s="520"/>
      <c r="C57" s="520"/>
      <c r="D57" s="520"/>
      <c r="E57" s="520"/>
      <c r="F57" s="520"/>
      <c r="G57" s="520"/>
      <c r="H57" s="520"/>
      <c r="I57" s="520"/>
      <c r="J57" s="520"/>
      <c r="K57" s="520"/>
      <c r="L57" s="520"/>
    </row>
    <row r="58" spans="2:12" ht="17.25" customHeight="1" x14ac:dyDescent="0.15">
      <c r="B58" s="522" t="s">
        <v>39</v>
      </c>
      <c r="C58" s="523"/>
      <c r="D58" s="494" t="s">
        <v>293</v>
      </c>
      <c r="E58" s="495"/>
      <c r="F58" s="496"/>
      <c r="G58" s="497" t="s">
        <v>253</v>
      </c>
      <c r="H58" s="498"/>
      <c r="I58" s="498"/>
      <c r="J58" s="498"/>
      <c r="K58" s="492" t="s">
        <v>38</v>
      </c>
      <c r="L58" s="493"/>
    </row>
    <row r="59" spans="2:12" ht="17.25" customHeight="1" x14ac:dyDescent="0.15">
      <c r="B59" s="492"/>
      <c r="C59" s="523"/>
      <c r="D59" s="494"/>
      <c r="E59" s="495"/>
      <c r="F59" s="496"/>
      <c r="G59" s="497"/>
      <c r="H59" s="498"/>
      <c r="I59" s="498"/>
      <c r="J59" s="498"/>
      <c r="K59" s="492" t="s">
        <v>250</v>
      </c>
      <c r="L59" s="521"/>
    </row>
    <row r="60" spans="2:12" ht="17.25" customHeight="1" x14ac:dyDescent="0.15">
      <c r="B60" s="492"/>
      <c r="C60" s="523"/>
      <c r="D60" s="494"/>
      <c r="E60" s="495"/>
      <c r="F60" s="496"/>
      <c r="G60" s="498"/>
      <c r="H60" s="498"/>
      <c r="I60" s="498"/>
      <c r="J60" s="498"/>
      <c r="K60" s="492"/>
      <c r="L60" s="521"/>
    </row>
    <row r="61" spans="2:12" ht="17.25" customHeight="1" x14ac:dyDescent="0.15">
      <c r="B61" s="522" t="s">
        <v>37</v>
      </c>
      <c r="C61" s="523"/>
      <c r="D61" s="532" t="s">
        <v>294</v>
      </c>
      <c r="E61" s="533"/>
      <c r="F61" s="533"/>
      <c r="G61" s="499" t="s">
        <v>254</v>
      </c>
      <c r="H61" s="500"/>
      <c r="I61" s="500"/>
      <c r="J61" s="500"/>
      <c r="K61" s="492" t="s">
        <v>255</v>
      </c>
      <c r="L61" s="505"/>
    </row>
    <row r="62" spans="2:12" ht="17.25" customHeight="1" x14ac:dyDescent="0.15">
      <c r="B62" s="492"/>
      <c r="C62" s="523"/>
      <c r="D62" s="534"/>
      <c r="E62" s="535"/>
      <c r="F62" s="535"/>
      <c r="G62" s="501"/>
      <c r="H62" s="502"/>
      <c r="I62" s="502"/>
      <c r="J62" s="502"/>
      <c r="K62" s="506" t="s">
        <v>256</v>
      </c>
      <c r="L62" s="507"/>
    </row>
    <row r="63" spans="2:12" ht="17.25" customHeight="1" x14ac:dyDescent="0.15">
      <c r="B63" s="492"/>
      <c r="C63" s="523"/>
      <c r="D63" s="536"/>
      <c r="E63" s="537"/>
      <c r="F63" s="537"/>
      <c r="G63" s="503"/>
      <c r="H63" s="504"/>
      <c r="I63" s="504"/>
      <c r="J63" s="504"/>
      <c r="K63" s="508"/>
      <c r="L63" s="509"/>
    </row>
    <row r="64" spans="2:12" ht="17.25" customHeight="1" x14ac:dyDescent="0.15">
      <c r="B64" s="524" t="s">
        <v>36</v>
      </c>
      <c r="C64" s="525"/>
      <c r="D64" s="510" t="s">
        <v>295</v>
      </c>
      <c r="E64" s="511"/>
      <c r="F64" s="512"/>
      <c r="G64" s="530" t="s">
        <v>28</v>
      </c>
      <c r="H64" s="531"/>
      <c r="I64" s="531"/>
      <c r="J64" s="531"/>
      <c r="K64" s="490" t="s">
        <v>27</v>
      </c>
      <c r="L64" s="491"/>
    </row>
    <row r="65" spans="2:12" ht="17.25" customHeight="1" x14ac:dyDescent="0.15">
      <c r="B65" s="526"/>
      <c r="C65" s="527"/>
      <c r="D65" s="513"/>
      <c r="E65" s="514"/>
      <c r="F65" s="515"/>
      <c r="G65" s="530"/>
      <c r="H65" s="531"/>
      <c r="I65" s="531"/>
      <c r="J65" s="531"/>
      <c r="K65" s="492" t="s">
        <v>251</v>
      </c>
      <c r="L65" s="521"/>
    </row>
    <row r="66" spans="2:12" ht="17.25" customHeight="1" x14ac:dyDescent="0.15">
      <c r="B66" s="528"/>
      <c r="C66" s="529"/>
      <c r="D66" s="516"/>
      <c r="E66" s="517"/>
      <c r="F66" s="518"/>
      <c r="G66" s="531"/>
      <c r="H66" s="531"/>
      <c r="I66" s="531"/>
      <c r="J66" s="531"/>
      <c r="K66" s="492"/>
      <c r="L66" s="521"/>
    </row>
    <row r="67" spans="2:12" ht="17.25" customHeight="1" x14ac:dyDescent="0.15">
      <c r="B67" s="522" t="s">
        <v>87</v>
      </c>
      <c r="C67" s="523"/>
      <c r="D67" s="510" t="s">
        <v>296</v>
      </c>
      <c r="E67" s="511"/>
      <c r="F67" s="512"/>
      <c r="G67" s="499" t="s">
        <v>88</v>
      </c>
      <c r="H67" s="500"/>
      <c r="I67" s="500"/>
      <c r="J67" s="500"/>
      <c r="K67" s="490" t="s">
        <v>27</v>
      </c>
      <c r="L67" s="491"/>
    </row>
    <row r="68" spans="2:12" ht="17.25" customHeight="1" x14ac:dyDescent="0.15">
      <c r="B68" s="492"/>
      <c r="C68" s="523"/>
      <c r="D68" s="513"/>
      <c r="E68" s="514"/>
      <c r="F68" s="515"/>
      <c r="G68" s="501"/>
      <c r="H68" s="502"/>
      <c r="I68" s="502"/>
      <c r="J68" s="502"/>
      <c r="K68" s="492" t="s">
        <v>252</v>
      </c>
      <c r="L68" s="521"/>
    </row>
    <row r="69" spans="2:12" ht="17.25" customHeight="1" x14ac:dyDescent="0.15">
      <c r="B69" s="492"/>
      <c r="C69" s="523"/>
      <c r="D69" s="516"/>
      <c r="E69" s="517"/>
      <c r="F69" s="518"/>
      <c r="G69" s="503"/>
      <c r="H69" s="504"/>
      <c r="I69" s="504"/>
      <c r="J69" s="504"/>
      <c r="K69" s="492"/>
      <c r="L69" s="521"/>
    </row>
    <row r="70" spans="2:12" ht="14.25" x14ac:dyDescent="0.2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2:12" ht="13.5" x14ac:dyDescent="0.15"/>
    <row r="72" spans="2:12" ht="13.5" x14ac:dyDescent="0.15"/>
    <row r="73" spans="2:12" ht="13.5" x14ac:dyDescent="0.15"/>
    <row r="74" spans="2:12" ht="13.5" x14ac:dyDescent="0.15"/>
    <row r="75" spans="2:12" ht="13.5" x14ac:dyDescent="0.15"/>
    <row r="76" spans="2:12" ht="13.5" x14ac:dyDescent="0.15"/>
    <row r="77" spans="2:12" ht="13.5" x14ac:dyDescent="0.15"/>
    <row r="78" spans="2:12" ht="13.5" x14ac:dyDescent="0.15"/>
    <row r="79" spans="2:12" ht="13.5" x14ac:dyDescent="0.15"/>
    <row r="80" spans="2:12" ht="13.5" x14ac:dyDescent="0.15"/>
    <row r="81" ht="13.5" x14ac:dyDescent="0.15"/>
    <row r="82" ht="13.5" x14ac:dyDescent="0.15"/>
    <row r="83" ht="13.5" x14ac:dyDescent="0.15"/>
    <row r="84" ht="13.5" x14ac:dyDescent="0.15"/>
    <row r="85" ht="13.5" x14ac:dyDescent="0.15"/>
    <row r="86" ht="13.5" x14ac:dyDescent="0.15"/>
    <row r="87" ht="13.5" x14ac:dyDescent="0.15"/>
    <row r="88" ht="13.5" x14ac:dyDescent="0.15"/>
    <row r="89" ht="13.5" x14ac:dyDescent="0.15"/>
    <row r="90" ht="13.5" x14ac:dyDescent="0.15"/>
    <row r="91" ht="13.5" x14ac:dyDescent="0.15"/>
    <row r="92" ht="13.5" x14ac:dyDescent="0.15"/>
    <row r="93" ht="13.5" x14ac:dyDescent="0.15"/>
    <row r="94" ht="13.5" x14ac:dyDescent="0.15"/>
    <row r="95" ht="13.5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</sheetData>
  <mergeCells count="129">
    <mergeCell ref="B51:B56"/>
    <mergeCell ref="D67:F69"/>
    <mergeCell ref="G67:J69"/>
    <mergeCell ref="C51:C56"/>
    <mergeCell ref="D51:D56"/>
    <mergeCell ref="B57:L57"/>
    <mergeCell ref="F51:F56"/>
    <mergeCell ref="H51:H56"/>
    <mergeCell ref="J51:J56"/>
    <mergeCell ref="K67:L67"/>
    <mergeCell ref="K68:L69"/>
    <mergeCell ref="B67:C69"/>
    <mergeCell ref="B61:C63"/>
    <mergeCell ref="B58:C60"/>
    <mergeCell ref="B64:C66"/>
    <mergeCell ref="K65:L66"/>
    <mergeCell ref="K59:L60"/>
    <mergeCell ref="D64:F66"/>
    <mergeCell ref="G64:J66"/>
    <mergeCell ref="D61:F63"/>
    <mergeCell ref="B27:B32"/>
    <mergeCell ref="C27:C32"/>
    <mergeCell ref="D27:D32"/>
    <mergeCell ref="F27:F32"/>
    <mergeCell ref="H27:H32"/>
    <mergeCell ref="B21:B26"/>
    <mergeCell ref="K64:L64"/>
    <mergeCell ref="K58:L58"/>
    <mergeCell ref="F21:F26"/>
    <mergeCell ref="B45:B50"/>
    <mergeCell ref="C45:C50"/>
    <mergeCell ref="B33:B38"/>
    <mergeCell ref="C33:C38"/>
    <mergeCell ref="B39:B44"/>
    <mergeCell ref="C39:C44"/>
    <mergeCell ref="D39:D44"/>
    <mergeCell ref="D58:F60"/>
    <mergeCell ref="G58:J60"/>
    <mergeCell ref="G61:J63"/>
    <mergeCell ref="K61:L61"/>
    <mergeCell ref="K62:L63"/>
    <mergeCell ref="F45:F50"/>
    <mergeCell ref="H45:H50"/>
    <mergeCell ref="J45:J50"/>
    <mergeCell ref="J39:J44"/>
    <mergeCell ref="D33:D38"/>
    <mergeCell ref="F33:F38"/>
    <mergeCell ref="H33:H38"/>
    <mergeCell ref="J33:J38"/>
    <mergeCell ref="H39:H44"/>
    <mergeCell ref="F39:F44"/>
    <mergeCell ref="D45:D50"/>
    <mergeCell ref="J27:J32"/>
    <mergeCell ref="J19:K19"/>
    <mergeCell ref="H20:I20"/>
    <mergeCell ref="J20:K20"/>
    <mergeCell ref="H21:H26"/>
    <mergeCell ref="H19:I19"/>
    <mergeCell ref="J18:K18"/>
    <mergeCell ref="B20:C20"/>
    <mergeCell ref="D20:E20"/>
    <mergeCell ref="F20:G20"/>
    <mergeCell ref="F19:G19"/>
    <mergeCell ref="B19:C19"/>
    <mergeCell ref="D19:E19"/>
    <mergeCell ref="C21:C26"/>
    <mergeCell ref="D21:D26"/>
    <mergeCell ref="J21:J26"/>
    <mergeCell ref="B17:C17"/>
    <mergeCell ref="D17:E17"/>
    <mergeCell ref="F17:G17"/>
    <mergeCell ref="H17:I17"/>
    <mergeCell ref="J17:K17"/>
    <mergeCell ref="F18:G18"/>
    <mergeCell ref="H18:I18"/>
    <mergeCell ref="B18:C18"/>
    <mergeCell ref="D18:E18"/>
    <mergeCell ref="J15:K15"/>
    <mergeCell ref="B16:C16"/>
    <mergeCell ref="D16:E16"/>
    <mergeCell ref="F16:G16"/>
    <mergeCell ref="H16:I16"/>
    <mergeCell ref="J16:K16"/>
    <mergeCell ref="B15:C15"/>
    <mergeCell ref="D15:E15"/>
    <mergeCell ref="F15:G15"/>
    <mergeCell ref="H15:I15"/>
    <mergeCell ref="J13:K13"/>
    <mergeCell ref="B14:C14"/>
    <mergeCell ref="D14:E14"/>
    <mergeCell ref="F14:G14"/>
    <mergeCell ref="H14:I14"/>
    <mergeCell ref="J14:K14"/>
    <mergeCell ref="B13:C13"/>
    <mergeCell ref="D13:E13"/>
    <mergeCell ref="F13:G13"/>
    <mergeCell ref="H13:I13"/>
    <mergeCell ref="B12:C12"/>
    <mergeCell ref="D12:E12"/>
    <mergeCell ref="F12:G12"/>
    <mergeCell ref="H12:I12"/>
    <mergeCell ref="J12:K12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:L1"/>
    <mergeCell ref="B2:L2"/>
    <mergeCell ref="B3:C9"/>
    <mergeCell ref="D3:E3"/>
    <mergeCell ref="F3:G3"/>
    <mergeCell ref="H3:I3"/>
    <mergeCell ref="J3:K3"/>
    <mergeCell ref="L3:L4"/>
    <mergeCell ref="D4:E4"/>
    <mergeCell ref="F4:G4"/>
    <mergeCell ref="D9:K9"/>
    <mergeCell ref="D8:K8"/>
    <mergeCell ref="H4:I4"/>
    <mergeCell ref="J4:K4"/>
    <mergeCell ref="D5:K5"/>
    <mergeCell ref="D6:K6"/>
    <mergeCell ref="D7:K7"/>
  </mergeCells>
  <phoneticPr fontId="25"/>
  <printOptions horizontalCentered="1"/>
  <pageMargins left="0" right="0" top="0.39370078740157483" bottom="0" header="0.15748031496062992" footer="0.15748031496062992"/>
  <pageSetup paperSize="9" scale="7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H121"/>
  <sheetViews>
    <sheetView zoomScaleNormal="100" zoomScaleSheetLayoutView="100" workbookViewId="0">
      <pane xSplit="30" ySplit="2" topLeftCell="AE3" activePane="bottomRight" state="frozen"/>
      <selection pane="topRight" activeCell="AE1" sqref="AE1"/>
      <selection pane="bottomLeft" activeCell="A3" sqref="A3"/>
      <selection pane="bottomRight" activeCell="AE3" sqref="AE3"/>
    </sheetView>
  </sheetViews>
  <sheetFormatPr defaultRowHeight="18.75" x14ac:dyDescent="0.4"/>
  <cols>
    <col min="1" max="1" width="3.5" customWidth="1"/>
    <col min="2" max="2" width="7.5" customWidth="1"/>
    <col min="3" max="3" width="3.125" style="13" customWidth="1"/>
    <col min="4" max="4" width="1.75" style="13" customWidth="1"/>
    <col min="5" max="5" width="3.125" style="13" customWidth="1"/>
    <col min="6" max="6" width="15.875" bestFit="1" customWidth="1"/>
    <col min="7" max="7" width="3.5" customWidth="1"/>
    <col min="8" max="8" width="5.75" customWidth="1"/>
    <col min="9" max="9" width="3" customWidth="1"/>
    <col min="10" max="10" width="1.75" customWidth="1"/>
    <col min="11" max="11" width="3" customWidth="1"/>
    <col min="12" max="12" width="14.75" bestFit="1" customWidth="1"/>
    <col min="13" max="13" width="3.75" customWidth="1"/>
    <col min="14" max="14" width="5.875" customWidth="1"/>
    <col min="15" max="15" width="3" customWidth="1"/>
    <col min="16" max="16" width="1.875" customWidth="1"/>
    <col min="17" max="17" width="3.375" customWidth="1"/>
    <col min="18" max="18" width="13.875" bestFit="1" customWidth="1"/>
    <col min="19" max="19" width="3.375" customWidth="1"/>
    <col min="20" max="20" width="6" customWidth="1"/>
    <col min="21" max="21" width="3" customWidth="1"/>
    <col min="22" max="22" width="2.625" customWidth="1"/>
    <col min="23" max="23" width="3.125" customWidth="1"/>
    <col min="24" max="24" width="13.875" bestFit="1" customWidth="1"/>
    <col min="25" max="25" width="0" hidden="1" customWidth="1"/>
    <col min="26" max="26" width="5.875" hidden="1" customWidth="1"/>
    <col min="27" max="27" width="9.75" hidden="1" customWidth="1"/>
    <col min="28" max="29" width="5.5" hidden="1" customWidth="1"/>
    <col min="30" max="30" width="9" hidden="1" customWidth="1"/>
    <col min="31" max="33" width="9" style="61" customWidth="1"/>
    <col min="34" max="34" width="9" style="61"/>
  </cols>
  <sheetData>
    <row r="1" spans="1:34" s="33" customFormat="1" ht="30" x14ac:dyDescent="0.4">
      <c r="A1" s="33" t="s">
        <v>68</v>
      </c>
      <c r="C1" s="34"/>
      <c r="D1" s="34"/>
      <c r="E1" s="34"/>
      <c r="AA1" s="341" t="s">
        <v>459</v>
      </c>
      <c r="AB1" s="35">
        <v>0.375</v>
      </c>
      <c r="AE1" s="988"/>
      <c r="AF1" s="988"/>
      <c r="AG1" s="988"/>
      <c r="AH1" s="988"/>
    </row>
    <row r="2" spans="1:34" ht="6.75" customHeight="1" x14ac:dyDescent="0.4"/>
    <row r="3" spans="1:34" s="25" customFormat="1" ht="18.75" customHeight="1" x14ac:dyDescent="0.4">
      <c r="A3" s="25" t="s">
        <v>69</v>
      </c>
      <c r="C3" s="26"/>
      <c r="D3" s="26"/>
      <c r="E3" s="26"/>
      <c r="F3" s="27">
        <f>U12組合せ!B21</f>
        <v>44296</v>
      </c>
      <c r="H3" s="27" t="str">
        <f>"("&amp;U12組合せ!C21&amp;")"</f>
        <v>(土)</v>
      </c>
      <c r="AA3" s="341" t="s">
        <v>458</v>
      </c>
      <c r="AB3" s="28">
        <v>0.5625</v>
      </c>
      <c r="AE3" s="989"/>
      <c r="AF3" s="989"/>
      <c r="AG3" s="989"/>
      <c r="AH3" s="989"/>
    </row>
    <row r="4" spans="1:34" ht="6.75" customHeight="1" x14ac:dyDescent="0.4"/>
    <row r="5" spans="1:34" ht="17.25" customHeight="1" x14ac:dyDescent="0.4">
      <c r="A5" s="546" t="s">
        <v>29</v>
      </c>
      <c r="B5" s="547"/>
      <c r="C5" s="563" t="str">
        <f>U12組合せ!E22</f>
        <v>A1234</v>
      </c>
      <c r="D5" s="564"/>
      <c r="E5" s="564"/>
      <c r="F5" s="565"/>
      <c r="G5" s="546" t="s">
        <v>29</v>
      </c>
      <c r="H5" s="547"/>
      <c r="I5" s="563" t="str">
        <f>U12組合せ!G22</f>
        <v>B123</v>
      </c>
      <c r="J5" s="564"/>
      <c r="K5" s="564"/>
      <c r="L5" s="565"/>
      <c r="M5" s="546" t="s">
        <v>29</v>
      </c>
      <c r="N5" s="547"/>
      <c r="O5" s="563" t="str">
        <f>U12組合せ!I22</f>
        <v>C123</v>
      </c>
      <c r="P5" s="564"/>
      <c r="Q5" s="564"/>
      <c r="R5" s="565"/>
      <c r="S5" s="546" t="s">
        <v>29</v>
      </c>
      <c r="T5" s="547"/>
      <c r="U5" s="563" t="str">
        <f>U12組合せ!K22</f>
        <v>D123</v>
      </c>
      <c r="V5" s="564"/>
      <c r="W5" s="564"/>
      <c r="X5" s="565"/>
      <c r="AA5" s="341" t="s">
        <v>448</v>
      </c>
      <c r="AB5" s="28">
        <v>0.375</v>
      </c>
    </row>
    <row r="6" spans="1:34" s="61" customFormat="1" x14ac:dyDescent="0.4">
      <c r="A6" s="561" t="s">
        <v>30</v>
      </c>
      <c r="B6" s="562"/>
      <c r="C6" s="572" t="str">
        <f>IF(U12組合せ!E21="","未定",U12組合せ!E21)</f>
        <v>石井 3</v>
      </c>
      <c r="D6" s="573"/>
      <c r="E6" s="573"/>
      <c r="F6" s="574"/>
      <c r="G6" s="561" t="s">
        <v>30</v>
      </c>
      <c r="H6" s="562"/>
      <c r="I6" s="572" t="str">
        <f>IF(U12組合せ!G21="","未定",U12組合せ!G21)</f>
        <v>姿川　第一小</v>
      </c>
      <c r="J6" s="573"/>
      <c r="K6" s="573"/>
      <c r="L6" s="574"/>
      <c r="M6" s="561" t="s">
        <v>30</v>
      </c>
      <c r="N6" s="562"/>
      <c r="O6" s="572" t="str">
        <f>IF(U12組合せ!I21="","未定",U12組合せ!I21)</f>
        <v>石井 4 PM</v>
      </c>
      <c r="P6" s="573"/>
      <c r="Q6" s="573"/>
      <c r="R6" s="574"/>
      <c r="S6" s="561" t="s">
        <v>30</v>
      </c>
      <c r="T6" s="562"/>
      <c r="U6" s="572" t="str">
        <f>IF(U12組合せ!K21="","未定",U12組合せ!K21)</f>
        <v>石井 5 AM</v>
      </c>
      <c r="V6" s="573"/>
      <c r="W6" s="573"/>
      <c r="X6" s="574"/>
      <c r="Y6" s="61" t="s">
        <v>449</v>
      </c>
      <c r="Z6" s="61" t="str">
        <f>IF(COUNTIF(C6,"*AM*"),"AM",IF(COUNTIF(C6,"*PM*"),"PM","AMF"))</f>
        <v>AMF</v>
      </c>
      <c r="AA6" s="61" t="str">
        <f>IF(COUNTIF(I6,"*AM*"),"AM",IF(COUNTIF(I6,"*PM*"),"PM","AMF"))</f>
        <v>AMF</v>
      </c>
      <c r="AB6" s="61" t="str">
        <f>IF(COUNTIF(O6,"*AM*"),"AM",IF(COUNTIF(O6,"*PM*"),"PM","AMF"))</f>
        <v>PM</v>
      </c>
      <c r="AC6" s="61" t="str">
        <f>IF(COUNTIF(U6,"*AM*"),"AM",IF(COUNTIF(U6,"*PM*"),"PM","AMF"))</f>
        <v>AM</v>
      </c>
    </row>
    <row r="7" spans="1:34" x14ac:dyDescent="0.4">
      <c r="A7" s="548" t="s">
        <v>31</v>
      </c>
      <c r="B7" s="549"/>
      <c r="C7" s="556" t="str">
        <f>Ａブロック対戦表!T3</f>
        <v>石井ＦＣ</v>
      </c>
      <c r="D7" s="557"/>
      <c r="E7" s="557"/>
      <c r="F7" s="558"/>
      <c r="G7" s="548" t="s">
        <v>31</v>
      </c>
      <c r="H7" s="549"/>
      <c r="I7" s="556" t="str">
        <f>Bブロック対戦表!T3</f>
        <v>ウエストフットコム</v>
      </c>
      <c r="J7" s="557"/>
      <c r="K7" s="557"/>
      <c r="L7" s="558"/>
      <c r="M7" s="548" t="s">
        <v>31</v>
      </c>
      <c r="N7" s="549"/>
      <c r="O7" s="556" t="str">
        <f>'Cブロック対戦表 '!T3</f>
        <v>FCアリーバ</v>
      </c>
      <c r="P7" s="557"/>
      <c r="Q7" s="557"/>
      <c r="R7" s="558"/>
      <c r="S7" s="548" t="s">
        <v>31</v>
      </c>
      <c r="T7" s="549"/>
      <c r="U7" s="556" t="str">
        <f ca="1">'Dブロック対戦表 '!T3</f>
        <v>FCみらいV</v>
      </c>
      <c r="V7" s="557"/>
      <c r="W7" s="557"/>
      <c r="X7" s="558"/>
      <c r="Y7" t="s">
        <v>450</v>
      </c>
    </row>
    <row r="8" spans="1:34" x14ac:dyDescent="0.4">
      <c r="A8" s="343" t="str">
        <f>IF($Z$6="AM",$Y6,IF($Z$6="PM",$Y9,IF($Z$6="AMF",$Y6,"")))</f>
        <v>①</v>
      </c>
      <c r="B8" s="344">
        <f>IF(Z6="AM",$AB$1,IF(Z6="PM",$AB$3,IF(Z6="AMF",$AB$5,"")))</f>
        <v>0.375</v>
      </c>
      <c r="C8" s="345">
        <v>1</v>
      </c>
      <c r="D8" s="346" t="s">
        <v>35</v>
      </c>
      <c r="E8" s="347">
        <v>2</v>
      </c>
      <c r="F8" s="348" t="s">
        <v>182</v>
      </c>
      <c r="G8" s="343" t="str">
        <f>IF($AA$6="AM",$Y6,IF($AA$6="PM",$Y9,IF($AA$6="AMF",$Y6,"")))</f>
        <v>①</v>
      </c>
      <c r="H8" s="344">
        <f>IF(AA6="AM",$AB$1,IF(AA6="PM",$AB$3,IF(AA6="AMF",$AB$5,"")))</f>
        <v>0.375</v>
      </c>
      <c r="I8" s="345">
        <v>1</v>
      </c>
      <c r="J8" s="346" t="s">
        <v>35</v>
      </c>
      <c r="K8" s="347">
        <v>2</v>
      </c>
      <c r="L8" s="348" t="s">
        <v>67</v>
      </c>
      <c r="M8" s="343" t="str">
        <f>IF($AB$6="AM",$Y6,IF($AB$6="PM",$Y9,IF($AB$6="AMF",$Y6,"")))</f>
        <v>④</v>
      </c>
      <c r="N8" s="344">
        <f>IF(AB6="AM",$AB$1,IF(AB6="PM",$AB$3,IF(AB6="AMF",$AB$5,"")))</f>
        <v>0.5625</v>
      </c>
      <c r="O8" s="345">
        <v>1</v>
      </c>
      <c r="P8" s="346" t="s">
        <v>35</v>
      </c>
      <c r="Q8" s="347">
        <v>2</v>
      </c>
      <c r="R8" s="348" t="s">
        <v>67</v>
      </c>
      <c r="S8" s="343" t="str">
        <f>IF($AC$6="AM",Y6,IF($AC$6="PM",Y9,IF($AC$6="AMF",Y6,"")))</f>
        <v>①</v>
      </c>
      <c r="T8" s="344">
        <f>IF(AC6="AM",$AB$1,IF(AC6="PM",$AB$3,IF(AC6="AMF",$AB$5,"")))</f>
        <v>0.375</v>
      </c>
      <c r="U8" s="345">
        <v>1</v>
      </c>
      <c r="V8" s="346" t="s">
        <v>35</v>
      </c>
      <c r="W8" s="347">
        <v>2</v>
      </c>
      <c r="X8" s="348" t="s">
        <v>67</v>
      </c>
      <c r="Y8" t="s">
        <v>451</v>
      </c>
    </row>
    <row r="9" spans="1:34" s="342" customFormat="1" x14ac:dyDescent="0.4">
      <c r="A9" s="349" t="str">
        <f>IF(A8="①","②",IF(A8="④","⑤",""))</f>
        <v>②</v>
      </c>
      <c r="B9" s="350">
        <f>B8+0.035</f>
        <v>0.41000000000000003</v>
      </c>
      <c r="C9" s="351">
        <v>3</v>
      </c>
      <c r="D9" s="352" t="s">
        <v>35</v>
      </c>
      <c r="E9" s="353">
        <v>4</v>
      </c>
      <c r="F9" s="354" t="s">
        <v>183</v>
      </c>
      <c r="G9" s="349" t="str">
        <f>IF(G8="①","②",IF(G8="④","⑤",""))</f>
        <v>②</v>
      </c>
      <c r="H9" s="350">
        <f>H8+0.042</f>
        <v>0.41699999999999998</v>
      </c>
      <c r="I9" s="351">
        <v>3</v>
      </c>
      <c r="J9" s="352" t="s">
        <v>35</v>
      </c>
      <c r="K9" s="353">
        <v>2</v>
      </c>
      <c r="L9" s="354" t="s">
        <v>66</v>
      </c>
      <c r="M9" s="349" t="str">
        <f>IF(M8="①","②",IF(M8="④","⑤",""))</f>
        <v>⑤</v>
      </c>
      <c r="N9" s="350">
        <f>N8+0.042</f>
        <v>0.60450000000000004</v>
      </c>
      <c r="O9" s="351">
        <v>3</v>
      </c>
      <c r="P9" s="352" t="s">
        <v>35</v>
      </c>
      <c r="Q9" s="353">
        <v>2</v>
      </c>
      <c r="R9" s="354" t="s">
        <v>66</v>
      </c>
      <c r="S9" s="349" t="str">
        <f>IF(S8="①","②",IF(S8="④","⑤",""))</f>
        <v>②</v>
      </c>
      <c r="T9" s="350">
        <f>T8+0.042</f>
        <v>0.41699999999999998</v>
      </c>
      <c r="U9" s="351">
        <v>3</v>
      </c>
      <c r="V9" s="352" t="s">
        <v>35</v>
      </c>
      <c r="W9" s="353">
        <v>2</v>
      </c>
      <c r="X9" s="354" t="s">
        <v>66</v>
      </c>
      <c r="Y9" s="342" t="s">
        <v>452</v>
      </c>
      <c r="AE9" s="61"/>
      <c r="AF9" s="61"/>
      <c r="AG9" s="61"/>
      <c r="AH9" s="61"/>
    </row>
    <row r="10" spans="1:34" x14ac:dyDescent="0.4">
      <c r="A10" s="349" t="str">
        <f>IF(A9="②","③",IF(A9="⑤","⑥",""))</f>
        <v>③</v>
      </c>
      <c r="B10" s="350">
        <f>B9+0.042</f>
        <v>0.45200000000000001</v>
      </c>
      <c r="C10" s="351">
        <v>3</v>
      </c>
      <c r="D10" s="352" t="s">
        <v>35</v>
      </c>
      <c r="E10" s="353">
        <v>1</v>
      </c>
      <c r="F10" s="354" t="s">
        <v>184</v>
      </c>
      <c r="G10" s="349" t="str">
        <f>IF(G9="②","③",IF(G9="⑤","⑥",""))</f>
        <v>③</v>
      </c>
      <c r="H10" s="350">
        <f>H9+0.042</f>
        <v>0.45899999999999996</v>
      </c>
      <c r="I10" s="351">
        <v>3</v>
      </c>
      <c r="J10" s="352" t="s">
        <v>35</v>
      </c>
      <c r="K10" s="353">
        <v>1</v>
      </c>
      <c r="L10" s="354" t="s">
        <v>65</v>
      </c>
      <c r="M10" s="349" t="str">
        <f>IF(M9="②","③",IF(M9="⑤","⑥",""))</f>
        <v>⑥</v>
      </c>
      <c r="N10" s="350">
        <f>N9+0.042</f>
        <v>0.64650000000000007</v>
      </c>
      <c r="O10" s="351">
        <v>3</v>
      </c>
      <c r="P10" s="352" t="s">
        <v>35</v>
      </c>
      <c r="Q10" s="353">
        <v>1</v>
      </c>
      <c r="R10" s="354" t="s">
        <v>65</v>
      </c>
      <c r="S10" s="349" t="str">
        <f>IF(S9="②","③",IF(S9="⑤","⑥",""))</f>
        <v>③</v>
      </c>
      <c r="T10" s="350">
        <f>T9+0.042</f>
        <v>0.45899999999999996</v>
      </c>
      <c r="U10" s="351">
        <v>3</v>
      </c>
      <c r="V10" s="352" t="s">
        <v>35</v>
      </c>
      <c r="W10" s="353">
        <v>1</v>
      </c>
      <c r="X10" s="354" t="s">
        <v>65</v>
      </c>
      <c r="Y10" t="s">
        <v>453</v>
      </c>
    </row>
    <row r="11" spans="1:34" x14ac:dyDescent="0.4">
      <c r="A11" s="355" t="str">
        <f>IF(A10="③","④",IF(A10="⑥","⑦",""))</f>
        <v>④</v>
      </c>
      <c r="B11" s="356">
        <f>B10+0.0345</f>
        <v>0.48650000000000004</v>
      </c>
      <c r="C11" s="357">
        <v>2</v>
      </c>
      <c r="D11" s="358" t="s">
        <v>35</v>
      </c>
      <c r="E11" s="359">
        <v>4</v>
      </c>
      <c r="F11" s="360" t="s">
        <v>185</v>
      </c>
      <c r="G11" s="355"/>
      <c r="H11" s="356"/>
      <c r="I11" s="357"/>
      <c r="J11" s="358"/>
      <c r="K11" s="359"/>
      <c r="L11" s="360"/>
      <c r="M11" s="355"/>
      <c r="N11" s="356"/>
      <c r="O11" s="357"/>
      <c r="P11" s="358"/>
      <c r="Q11" s="359"/>
      <c r="R11" s="360"/>
      <c r="S11" s="355"/>
      <c r="T11" s="356"/>
      <c r="U11" s="357"/>
      <c r="V11" s="358"/>
      <c r="W11" s="359"/>
      <c r="X11" s="360"/>
      <c r="Y11" t="s">
        <v>454</v>
      </c>
    </row>
    <row r="12" spans="1:34" ht="4.5" customHeight="1" x14ac:dyDescent="0.4">
      <c r="I12" s="13"/>
      <c r="J12" s="13"/>
      <c r="K12" s="13"/>
      <c r="O12" s="13"/>
      <c r="P12" s="13"/>
      <c r="Q12" s="13"/>
      <c r="U12" s="13"/>
      <c r="V12" s="13"/>
      <c r="W12" s="13"/>
      <c r="Y12" t="s">
        <v>455</v>
      </c>
    </row>
    <row r="13" spans="1:34" x14ac:dyDescent="0.4">
      <c r="A13" s="546" t="s">
        <v>29</v>
      </c>
      <c r="B13" s="547"/>
      <c r="C13" s="563" t="str">
        <f>U12組合せ!E24</f>
        <v>A567</v>
      </c>
      <c r="D13" s="564"/>
      <c r="E13" s="564"/>
      <c r="F13" s="565"/>
      <c r="G13" s="546" t="s">
        <v>29</v>
      </c>
      <c r="H13" s="547"/>
      <c r="I13" s="563" t="str">
        <f>U12組合せ!G24</f>
        <v>B456</v>
      </c>
      <c r="J13" s="564"/>
      <c r="K13" s="564"/>
      <c r="L13" s="565"/>
      <c r="M13" s="546" t="s">
        <v>29</v>
      </c>
      <c r="N13" s="547"/>
      <c r="O13" s="563" t="str">
        <f>U12組合せ!I24</f>
        <v>C5789</v>
      </c>
      <c r="P13" s="564"/>
      <c r="Q13" s="564"/>
      <c r="R13" s="565"/>
      <c r="S13" s="546" t="s">
        <v>29</v>
      </c>
      <c r="T13" s="547"/>
      <c r="U13" s="563" t="str">
        <f>U12組合せ!K24</f>
        <v>D456</v>
      </c>
      <c r="V13" s="564"/>
      <c r="W13" s="564"/>
      <c r="X13" s="565"/>
      <c r="Y13" t="s">
        <v>456</v>
      </c>
    </row>
    <row r="14" spans="1:34" x14ac:dyDescent="0.4">
      <c r="A14" s="538" t="s">
        <v>30</v>
      </c>
      <c r="B14" s="539"/>
      <c r="C14" s="550" t="str">
        <f>IF(U12組合せ!E23="","未定",U12組合せ!E23)</f>
        <v>石井 1 AM</v>
      </c>
      <c r="D14" s="551"/>
      <c r="E14" s="551"/>
      <c r="F14" s="552"/>
      <c r="G14" s="538" t="s">
        <v>71</v>
      </c>
      <c r="H14" s="539"/>
      <c r="I14" s="550" t="str">
        <f>IF(U12組合せ!G23="","未定",U12組合せ!G23)</f>
        <v>白沢 北 PM</v>
      </c>
      <c r="J14" s="551"/>
      <c r="K14" s="551"/>
      <c r="L14" s="552"/>
      <c r="M14" s="538" t="s">
        <v>71</v>
      </c>
      <c r="N14" s="539"/>
      <c r="O14" s="550" t="str">
        <f>IF(U12組合せ!I23="","未定",U12組合せ!I23)</f>
        <v>白沢北 AM</v>
      </c>
      <c r="P14" s="551"/>
      <c r="Q14" s="551"/>
      <c r="R14" s="552"/>
      <c r="S14" s="538" t="s">
        <v>71</v>
      </c>
      <c r="T14" s="539"/>
      <c r="U14" s="550" t="str">
        <f>IF(U12組合せ!K23="","未定",U12組合せ!K23)</f>
        <v>石井 4 AM</v>
      </c>
      <c r="V14" s="551"/>
      <c r="W14" s="551"/>
      <c r="X14" s="552"/>
      <c r="Z14" t="str">
        <f>IF(COUNTIF(C14,"*AM*"),"AM",IF(COUNTIF(C14,"*PM*"),"PM","AMF"))</f>
        <v>AM</v>
      </c>
      <c r="AA14" t="str">
        <f>IF(COUNTIF(I14,"*AM*"),"AM",IF(COUNTIF(I14,"*PM*"),"PM","AMF"))</f>
        <v>PM</v>
      </c>
      <c r="AB14" t="str">
        <f>IF(COUNTIF(O14,"*AM*"),"AM",IF(COUNTIF(O14,"*PM*"),"PM","AMF"))</f>
        <v>AM</v>
      </c>
      <c r="AC14" t="str">
        <f>IF(COUNTIF(U14,"*AM*"),"AM",IF(COUNTIF(U14,"*PM*"),"PM","AMF"))</f>
        <v>AM</v>
      </c>
    </row>
    <row r="15" spans="1:34" x14ac:dyDescent="0.4">
      <c r="A15" s="538" t="s">
        <v>31</v>
      </c>
      <c r="B15" s="539"/>
      <c r="C15" s="556" t="str">
        <f>Ａブロック対戦表!T35</f>
        <v>ブラッドレスＳＣ</v>
      </c>
      <c r="D15" s="557"/>
      <c r="E15" s="557"/>
      <c r="F15" s="558"/>
      <c r="G15" s="538" t="s">
        <v>31</v>
      </c>
      <c r="H15" s="539"/>
      <c r="I15" s="556" t="str">
        <f>Bブロック対戦表!T35</f>
        <v>岡西FC</v>
      </c>
      <c r="J15" s="557"/>
      <c r="K15" s="557"/>
      <c r="L15" s="558"/>
      <c r="M15" s="538" t="s">
        <v>31</v>
      </c>
      <c r="N15" s="539"/>
      <c r="O15" s="575" t="str">
        <f>'Cブロック対戦表 '!T35</f>
        <v>豊郷JFC宇都宮U-12</v>
      </c>
      <c r="P15" s="576"/>
      <c r="Q15" s="576"/>
      <c r="R15" s="577"/>
      <c r="S15" s="538" t="s">
        <v>31</v>
      </c>
      <c r="T15" s="539"/>
      <c r="U15" s="556" t="str">
        <f>'Dブロック対戦表 '!T35</f>
        <v>ウエストフットコムU11</v>
      </c>
      <c r="V15" s="557"/>
      <c r="W15" s="557"/>
      <c r="X15" s="558"/>
    </row>
    <row r="16" spans="1:34" x14ac:dyDescent="0.4">
      <c r="A16" s="343" t="str">
        <f>IF(Z14="AM","①",IF(Z14="PM","④",IF(Z14="AMF","①","")))</f>
        <v>①</v>
      </c>
      <c r="B16" s="344">
        <f>IF(Z14="AM",$AB$1,IF(Z14="PM",$AB$3,IF(Z14="AMF",$AB$5,"")))</f>
        <v>0.375</v>
      </c>
      <c r="C16" s="361">
        <v>5</v>
      </c>
      <c r="D16" s="362" t="s">
        <v>35</v>
      </c>
      <c r="E16" s="363">
        <v>6</v>
      </c>
      <c r="F16" s="364" t="s">
        <v>186</v>
      </c>
      <c r="G16" s="343" t="str">
        <f>IF(AA14="AM","①",IF(AA14="PM","④",IF(AA14="AMF","①","")))</f>
        <v>④</v>
      </c>
      <c r="H16" s="344">
        <f>IF(AA14="AM",$AB$1,IF(AA14="PM",$AB$3,IF(AA14="AMF",$AB$5,"")))</f>
        <v>0.5625</v>
      </c>
      <c r="I16" s="361">
        <v>4</v>
      </c>
      <c r="J16" s="362" t="s">
        <v>35</v>
      </c>
      <c r="K16" s="363">
        <v>5</v>
      </c>
      <c r="L16" s="364" t="s">
        <v>64</v>
      </c>
      <c r="M16" s="343" t="str">
        <f>IF(AB14="AM","①",IF(AB14="PM","④",IF(AB14="AMF","①","")))</f>
        <v>①</v>
      </c>
      <c r="N16" s="344">
        <f>IF(AB14="AM",$AB$1,IF(AB14="PM",$AB$3,IF(AB14="AMF",$AB$5,"")))</f>
        <v>0.375</v>
      </c>
      <c r="O16" s="365">
        <v>5</v>
      </c>
      <c r="P16" s="366" t="s">
        <v>266</v>
      </c>
      <c r="Q16" s="367">
        <v>8</v>
      </c>
      <c r="R16" s="368" t="s">
        <v>279</v>
      </c>
      <c r="S16" s="343" t="str">
        <f>IF(AC14="AM","①",IF(AC14="PM","④",IF(AC14="AMF","①","")))</f>
        <v>①</v>
      </c>
      <c r="T16" s="344">
        <f>IF(AC14="AM",$AB$1,IF(AC14="PM",$AB$3,IF(AC14="AMF",$AB$5,"")))</f>
        <v>0.375</v>
      </c>
      <c r="U16" s="361">
        <v>4</v>
      </c>
      <c r="V16" s="362" t="s">
        <v>35</v>
      </c>
      <c r="W16" s="363">
        <v>5</v>
      </c>
      <c r="X16" s="364" t="s">
        <v>64</v>
      </c>
      <c r="Z16" s="82" t="s">
        <v>261</v>
      </c>
      <c r="AA16" s="82" t="s">
        <v>264</v>
      </c>
    </row>
    <row r="17" spans="1:34" x14ac:dyDescent="0.4">
      <c r="A17" s="349" t="str">
        <f>IF(A16="①","②",IF(A16="④","⑤",""))</f>
        <v>②</v>
      </c>
      <c r="B17" s="350">
        <f>B16+0.042</f>
        <v>0.41699999999999998</v>
      </c>
      <c r="C17" s="351">
        <v>6</v>
      </c>
      <c r="D17" s="352" t="s">
        <v>35</v>
      </c>
      <c r="E17" s="353">
        <v>7</v>
      </c>
      <c r="F17" s="354" t="s">
        <v>187</v>
      </c>
      <c r="G17" s="349" t="str">
        <f>IF(G16="①","②",IF(G16="④","⑤",""))</f>
        <v>⑤</v>
      </c>
      <c r="H17" s="350">
        <f>H16+0.042</f>
        <v>0.60450000000000004</v>
      </c>
      <c r="I17" s="351">
        <v>6</v>
      </c>
      <c r="J17" s="352" t="s">
        <v>35</v>
      </c>
      <c r="K17" s="353">
        <v>5</v>
      </c>
      <c r="L17" s="354" t="s">
        <v>62</v>
      </c>
      <c r="M17" s="349" t="str">
        <f>IF(M16="①","②",IF(M16="④","⑤",""))</f>
        <v>②</v>
      </c>
      <c r="N17" s="350">
        <f>N16+0.042</f>
        <v>0.41699999999999998</v>
      </c>
      <c r="O17" s="369">
        <v>7</v>
      </c>
      <c r="P17" s="370" t="s">
        <v>266</v>
      </c>
      <c r="Q17" s="371">
        <v>8</v>
      </c>
      <c r="R17" s="354" t="s">
        <v>277</v>
      </c>
      <c r="S17" s="349" t="str">
        <f>IF(S16="①","②",IF(S16="④","⑤",""))</f>
        <v>②</v>
      </c>
      <c r="T17" s="350">
        <f>T16+0.042</f>
        <v>0.41699999999999998</v>
      </c>
      <c r="U17" s="351">
        <v>6</v>
      </c>
      <c r="V17" s="352" t="s">
        <v>35</v>
      </c>
      <c r="W17" s="353">
        <v>5</v>
      </c>
      <c r="X17" s="354" t="s">
        <v>62</v>
      </c>
      <c r="Z17" s="82" t="s">
        <v>262</v>
      </c>
      <c r="AA17" s="82" t="s">
        <v>265</v>
      </c>
    </row>
    <row r="18" spans="1:34" x14ac:dyDescent="0.4">
      <c r="A18" s="355" t="str">
        <f>IF(A17="②","③",IF(A17="⑤","⑥",""))</f>
        <v>③</v>
      </c>
      <c r="B18" s="356">
        <f>B17+0.042</f>
        <v>0.45899999999999996</v>
      </c>
      <c r="C18" s="357">
        <v>5</v>
      </c>
      <c r="D18" s="358" t="s">
        <v>35</v>
      </c>
      <c r="E18" s="359">
        <v>7</v>
      </c>
      <c r="F18" s="360" t="s">
        <v>188</v>
      </c>
      <c r="G18" s="355" t="str">
        <f>IF(G17="②","③",IF(G17="⑤","⑥",""))</f>
        <v>⑥</v>
      </c>
      <c r="H18" s="356">
        <f>H17+0.042</f>
        <v>0.64650000000000007</v>
      </c>
      <c r="I18" s="357">
        <v>6</v>
      </c>
      <c r="J18" s="358" t="s">
        <v>35</v>
      </c>
      <c r="K18" s="359">
        <v>4</v>
      </c>
      <c r="L18" s="360" t="s">
        <v>60</v>
      </c>
      <c r="M18" s="355" t="str">
        <f>IF(M17="②","③",IF(M17="⑤","⑥",""))</f>
        <v>③</v>
      </c>
      <c r="N18" s="356">
        <f>N17+0.042</f>
        <v>0.45899999999999996</v>
      </c>
      <c r="O18" s="372">
        <v>7</v>
      </c>
      <c r="P18" s="373" t="s">
        <v>266</v>
      </c>
      <c r="Q18" s="374">
        <v>9</v>
      </c>
      <c r="R18" s="375" t="s">
        <v>278</v>
      </c>
      <c r="S18" s="355" t="str">
        <f>IF(S17="②","③",IF(S17="⑤","⑥",""))</f>
        <v>③</v>
      </c>
      <c r="T18" s="356">
        <f>T17+0.042</f>
        <v>0.45899999999999996</v>
      </c>
      <c r="U18" s="357">
        <v>6</v>
      </c>
      <c r="V18" s="358" t="s">
        <v>35</v>
      </c>
      <c r="W18" s="359">
        <v>4</v>
      </c>
      <c r="X18" s="360" t="s">
        <v>60</v>
      </c>
      <c r="Z18" s="82" t="s">
        <v>263</v>
      </c>
    </row>
    <row r="19" spans="1:34" ht="3.75" customHeight="1" x14ac:dyDescent="0.4">
      <c r="I19" s="13"/>
      <c r="J19" s="13"/>
      <c r="K19" s="13"/>
      <c r="O19" s="13"/>
      <c r="P19" s="13"/>
      <c r="Q19" s="13"/>
      <c r="U19" s="13"/>
      <c r="V19" s="13"/>
      <c r="W19" s="13"/>
    </row>
    <row r="20" spans="1:34" x14ac:dyDescent="0.4">
      <c r="A20" s="546" t="s">
        <v>29</v>
      </c>
      <c r="B20" s="547"/>
      <c r="C20" s="563" t="str">
        <f>U12組合せ!E26</f>
        <v>A8910</v>
      </c>
      <c r="D20" s="564"/>
      <c r="E20" s="564"/>
      <c r="F20" s="565"/>
      <c r="G20" s="546" t="s">
        <v>29</v>
      </c>
      <c r="H20" s="547"/>
      <c r="I20" s="563" t="str">
        <f>U12組合せ!G26</f>
        <v>B789</v>
      </c>
      <c r="J20" s="564"/>
      <c r="K20" s="564"/>
      <c r="L20" s="565"/>
      <c r="M20" s="546" t="s">
        <v>29</v>
      </c>
      <c r="N20" s="547"/>
      <c r="O20" s="563" t="str">
        <f>U12組合せ!I26</f>
        <v>C569</v>
      </c>
      <c r="P20" s="564"/>
      <c r="Q20" s="564"/>
      <c r="R20" s="565"/>
      <c r="S20" s="546" t="s">
        <v>29</v>
      </c>
      <c r="T20" s="547"/>
      <c r="U20" s="563" t="str">
        <f>U12組合せ!K26</f>
        <v>D789</v>
      </c>
      <c r="V20" s="564"/>
      <c r="W20" s="564"/>
      <c r="X20" s="565"/>
    </row>
    <row r="21" spans="1:34" x14ac:dyDescent="0.4">
      <c r="A21" s="538" t="s">
        <v>30</v>
      </c>
      <c r="B21" s="539"/>
      <c r="C21" s="550" t="str">
        <f>IF(U12組合せ!E25="","未定",U12組合せ!E25)</f>
        <v>石井 1 PM</v>
      </c>
      <c r="D21" s="551"/>
      <c r="E21" s="551"/>
      <c r="F21" s="552"/>
      <c r="G21" s="538" t="s">
        <v>71</v>
      </c>
      <c r="H21" s="539"/>
      <c r="I21" s="550" t="str">
        <f>IF(U12組合せ!G25="","未定",U12組合せ!G25)</f>
        <v>白沢 南 PM</v>
      </c>
      <c r="J21" s="551"/>
      <c r="K21" s="551"/>
      <c r="L21" s="552"/>
      <c r="M21" s="538" t="s">
        <v>71</v>
      </c>
      <c r="N21" s="539"/>
      <c r="O21" s="550" t="str">
        <f>IF(U12組合せ!I25="","未定",U12組合せ!I25)</f>
        <v>白沢 南 AM</v>
      </c>
      <c r="P21" s="551"/>
      <c r="Q21" s="551"/>
      <c r="R21" s="552"/>
      <c r="S21" s="538" t="s">
        <v>71</v>
      </c>
      <c r="T21" s="539"/>
      <c r="U21" s="550" t="str">
        <f>IF(U12組合せ!K25="","未定",U12組合せ!K25)</f>
        <v>石井 5 PM</v>
      </c>
      <c r="V21" s="551"/>
      <c r="W21" s="551"/>
      <c r="X21" s="552"/>
      <c r="Z21" t="str">
        <f>IF(COUNTIF(C21,"*AM*"),"AM",IF(COUNTIF(C21,"*PM*"),"PM","AMF"))</f>
        <v>PM</v>
      </c>
      <c r="AA21" t="str">
        <f>IF(COUNTIF(I21,"*AM*"),"AM",IF(COUNTIF(I21,"*PM*"),"PM","AMF"))</f>
        <v>PM</v>
      </c>
      <c r="AB21" t="str">
        <f>IF(COUNTIF(O21,"*AM*"),"AM",IF(COUNTIF(O21,"*PM*"),"PM","AMF"))</f>
        <v>AM</v>
      </c>
      <c r="AC21" t="str">
        <f>IF(COUNTIF(U21,"*AM*"),"AM",IF(COUNTIF(U21,"*PM*"),"PM","AMF"))</f>
        <v>PM</v>
      </c>
    </row>
    <row r="22" spans="1:34" x14ac:dyDescent="0.4">
      <c r="A22" s="538" t="s">
        <v>31</v>
      </c>
      <c r="B22" s="539"/>
      <c r="C22" s="556" t="str">
        <f ca="1">Ａブロック対戦表!T66</f>
        <v>国本ＪＳＣ</v>
      </c>
      <c r="D22" s="557"/>
      <c r="E22" s="557"/>
      <c r="F22" s="558"/>
      <c r="G22" s="538" t="s">
        <v>31</v>
      </c>
      <c r="H22" s="539"/>
      <c r="I22" s="556" t="str">
        <f>Bブロック対戦表!T66</f>
        <v>サウス宇都宮SC</v>
      </c>
      <c r="J22" s="557"/>
      <c r="K22" s="557"/>
      <c r="L22" s="558"/>
      <c r="M22" s="538" t="s">
        <v>31</v>
      </c>
      <c r="N22" s="539"/>
      <c r="O22" s="575" t="str">
        <f>'Cブロック対戦表 '!T67</f>
        <v>シャルムグランツSC</v>
      </c>
      <c r="P22" s="576"/>
      <c r="Q22" s="576"/>
      <c r="R22" s="577"/>
      <c r="S22" s="538" t="s">
        <v>31</v>
      </c>
      <c r="T22" s="539"/>
      <c r="U22" s="556" t="str">
        <f>'Dブロック対戦表 '!T67</f>
        <v>宝木キッカーズ</v>
      </c>
      <c r="V22" s="557"/>
      <c r="W22" s="557"/>
      <c r="X22" s="558"/>
    </row>
    <row r="23" spans="1:34" x14ac:dyDescent="0.4">
      <c r="A23" s="343" t="str">
        <f>IF($Z$21="AM",$Y6,IF($Z$21="PM",$Y9,IF($Z$21="AMF",$Y6,"")))</f>
        <v>④</v>
      </c>
      <c r="B23" s="344">
        <f>IF(Z21="AM",$AB$1,IF(Z21="PM",$AB$3,IF(Z21="AMF",$AB$5,"")))</f>
        <v>0.5625</v>
      </c>
      <c r="C23" s="361">
        <v>8</v>
      </c>
      <c r="D23" s="362" t="s">
        <v>35</v>
      </c>
      <c r="E23" s="363">
        <v>9</v>
      </c>
      <c r="F23" s="364" t="s">
        <v>189</v>
      </c>
      <c r="G23" s="343" t="str">
        <f>IF(AA21="AM","①",IF(AA21="PM","④",IF(AA21="AMF","①","")))</f>
        <v>④</v>
      </c>
      <c r="H23" s="344">
        <f>IF(AA21="AM",$AB$1,IF(AA21="PM",$AB$3,IF(AA21="AMF",$AB$5,"")))</f>
        <v>0.5625</v>
      </c>
      <c r="I23" s="361">
        <v>7</v>
      </c>
      <c r="J23" s="362" t="s">
        <v>35</v>
      </c>
      <c r="K23" s="363">
        <v>8</v>
      </c>
      <c r="L23" s="364" t="s">
        <v>63</v>
      </c>
      <c r="M23" s="343" t="str">
        <f>IF(AB21="AM","①",IF(AB21="PM","④",IF(AB21="AMF","①","")))</f>
        <v>①</v>
      </c>
      <c r="N23" s="344">
        <f>IF(AB21="AM",$AB$1,IF(AB21="PM",$AB$3,IF(AB21="AMF",$AB$5,"")))</f>
        <v>0.375</v>
      </c>
      <c r="O23" s="365">
        <v>6</v>
      </c>
      <c r="P23" s="366" t="s">
        <v>35</v>
      </c>
      <c r="Q23" s="367">
        <v>9</v>
      </c>
      <c r="R23" s="368" t="s">
        <v>275</v>
      </c>
      <c r="S23" s="343" t="str">
        <f>IF(AC21="AM","①",IF(AC21="PM","④",IF(AC21="AMF","①","")))</f>
        <v>④</v>
      </c>
      <c r="T23" s="344">
        <f>IF(AC21="AM",$AB$1,IF(AC21="PM",$AB$3,IF(AC21="AMF",$AB$5,"")))</f>
        <v>0.5625</v>
      </c>
      <c r="U23" s="361">
        <v>7</v>
      </c>
      <c r="V23" s="362" t="s">
        <v>35</v>
      </c>
      <c r="W23" s="363">
        <v>8</v>
      </c>
      <c r="X23" s="364" t="s">
        <v>63</v>
      </c>
    </row>
    <row r="24" spans="1:34" x14ac:dyDescent="0.4">
      <c r="A24" s="349" t="str">
        <f>IF(A23="①","②",IF(A23="④","⑤",""))</f>
        <v>⑤</v>
      </c>
      <c r="B24" s="350">
        <f>B23+0.042</f>
        <v>0.60450000000000004</v>
      </c>
      <c r="C24" s="351">
        <v>10</v>
      </c>
      <c r="D24" s="352" t="s">
        <v>35</v>
      </c>
      <c r="E24" s="353">
        <v>9</v>
      </c>
      <c r="F24" s="354" t="s">
        <v>190</v>
      </c>
      <c r="G24" s="349" t="str">
        <f>IF(G23="①","②",IF(G23="④","⑤",""))</f>
        <v>⑤</v>
      </c>
      <c r="H24" s="350">
        <f>H23+0.042</f>
        <v>0.60450000000000004</v>
      </c>
      <c r="I24" s="351">
        <v>9</v>
      </c>
      <c r="J24" s="352" t="s">
        <v>35</v>
      </c>
      <c r="K24" s="353">
        <v>8</v>
      </c>
      <c r="L24" s="354" t="s">
        <v>61</v>
      </c>
      <c r="M24" s="349" t="str">
        <f>IF(M23="①","②",IF(M23="④","⑤",""))</f>
        <v>②</v>
      </c>
      <c r="N24" s="350">
        <f>N23+0.042</f>
        <v>0.41699999999999998</v>
      </c>
      <c r="O24" s="369">
        <v>5</v>
      </c>
      <c r="P24" s="370" t="s">
        <v>35</v>
      </c>
      <c r="Q24" s="371">
        <v>6</v>
      </c>
      <c r="R24" s="354" t="s">
        <v>276</v>
      </c>
      <c r="S24" s="349" t="str">
        <f>IF(S23="①","②",IF(S23="④","⑤",""))</f>
        <v>⑤</v>
      </c>
      <c r="T24" s="350">
        <f>T23+0.042</f>
        <v>0.60450000000000004</v>
      </c>
      <c r="U24" s="351">
        <v>9</v>
      </c>
      <c r="V24" s="352" t="s">
        <v>35</v>
      </c>
      <c r="W24" s="353">
        <v>8</v>
      </c>
      <c r="X24" s="354" t="s">
        <v>61</v>
      </c>
    </row>
    <row r="25" spans="1:34" x14ac:dyDescent="0.4">
      <c r="A25" s="355" t="str">
        <f>IF(A24="②","③",IF(A24="⑤","⑥",""))</f>
        <v>⑥</v>
      </c>
      <c r="B25" s="356">
        <f>B24+0.042</f>
        <v>0.64650000000000007</v>
      </c>
      <c r="C25" s="357">
        <v>10</v>
      </c>
      <c r="D25" s="358" t="s">
        <v>35</v>
      </c>
      <c r="E25" s="359">
        <v>8</v>
      </c>
      <c r="F25" s="360" t="s">
        <v>191</v>
      </c>
      <c r="G25" s="355" t="str">
        <f>IF(G24="②","③",IF(G24="⑤","⑥",""))</f>
        <v>⑥</v>
      </c>
      <c r="H25" s="356">
        <f>H24+0.042</f>
        <v>0.64650000000000007</v>
      </c>
      <c r="I25" s="357">
        <v>9</v>
      </c>
      <c r="J25" s="358" t="s">
        <v>35</v>
      </c>
      <c r="K25" s="359">
        <v>7</v>
      </c>
      <c r="L25" s="360" t="s">
        <v>59</v>
      </c>
      <c r="M25" s="355" t="str">
        <f>IF(M24="②","③",IF(M24="⑤","⑥",""))</f>
        <v>③</v>
      </c>
      <c r="N25" s="356">
        <f>N24+0.042</f>
        <v>0.45899999999999996</v>
      </c>
      <c r="O25" s="372"/>
      <c r="P25" s="373" t="s">
        <v>35</v>
      </c>
      <c r="Q25" s="374"/>
      <c r="R25" s="375"/>
      <c r="S25" s="355" t="str">
        <f>IF(S24="②","③",IF(S24="⑤","⑥",""))</f>
        <v>⑥</v>
      </c>
      <c r="T25" s="356">
        <f>T24+0.042</f>
        <v>0.64650000000000007</v>
      </c>
      <c r="U25" s="357">
        <v>9</v>
      </c>
      <c r="V25" s="358" t="s">
        <v>35</v>
      </c>
      <c r="W25" s="359">
        <v>7</v>
      </c>
      <c r="X25" s="360" t="s">
        <v>59</v>
      </c>
    </row>
    <row r="26" spans="1:34" ht="12" customHeight="1" x14ac:dyDescent="0.4"/>
    <row r="27" spans="1:34" s="25" customFormat="1" ht="24" x14ac:dyDescent="0.4">
      <c r="A27" s="25" t="s">
        <v>70</v>
      </c>
      <c r="C27" s="26"/>
      <c r="D27" s="26"/>
      <c r="E27" s="26"/>
      <c r="F27" s="27">
        <f>U12組合せ!B27</f>
        <v>44310</v>
      </c>
      <c r="H27" s="27" t="str">
        <f>"("&amp;U12組合せ!C27&amp;")"</f>
        <v>(土)</v>
      </c>
      <c r="AE27" s="989"/>
      <c r="AF27" s="989"/>
      <c r="AG27" s="989"/>
      <c r="AH27" s="989"/>
    </row>
    <row r="28" spans="1:34" ht="2.25" customHeight="1" x14ac:dyDescent="0.4"/>
    <row r="29" spans="1:34" x14ac:dyDescent="0.4">
      <c r="A29" s="546" t="s">
        <v>29</v>
      </c>
      <c r="B29" s="547"/>
      <c r="C29" s="563" t="str">
        <f>U12組合せ!E28</f>
        <v>A1458</v>
      </c>
      <c r="D29" s="564"/>
      <c r="E29" s="564"/>
      <c r="F29" s="565"/>
      <c r="G29" s="546" t="s">
        <v>29</v>
      </c>
      <c r="H29" s="547"/>
      <c r="I29" s="563" t="str">
        <f>U12組合せ!G28</f>
        <v>B147</v>
      </c>
      <c r="J29" s="564"/>
      <c r="K29" s="564"/>
      <c r="L29" s="565"/>
      <c r="M29" s="546" t="s">
        <v>29</v>
      </c>
      <c r="N29" s="547"/>
      <c r="O29" s="563" t="str">
        <f>U12組合せ!I28</f>
        <v>C159</v>
      </c>
      <c r="P29" s="564"/>
      <c r="Q29" s="564"/>
      <c r="R29" s="565"/>
      <c r="S29" s="546" t="s">
        <v>29</v>
      </c>
      <c r="T29" s="547"/>
      <c r="U29" s="563" t="str">
        <f>U12組合せ!K28</f>
        <v>D147</v>
      </c>
      <c r="V29" s="564"/>
      <c r="W29" s="564"/>
      <c r="X29" s="565"/>
    </row>
    <row r="30" spans="1:34" x14ac:dyDescent="0.4">
      <c r="A30" s="561" t="s">
        <v>30</v>
      </c>
      <c r="B30" s="562"/>
      <c r="C30" s="572" t="str">
        <f>IF(U12組合せ!E27="","未定",U12組合せ!E27)</f>
        <v>GP白沢北 PM</v>
      </c>
      <c r="D30" s="573"/>
      <c r="E30" s="573"/>
      <c r="F30" s="574"/>
      <c r="G30" s="561" t="s">
        <v>30</v>
      </c>
      <c r="H30" s="562"/>
      <c r="I30" s="572" t="str">
        <f>IF(U12組合せ!G27="","未定",U12組合せ!G27)</f>
        <v>平出南 AM</v>
      </c>
      <c r="J30" s="573"/>
      <c r="K30" s="573"/>
      <c r="L30" s="574"/>
      <c r="M30" s="561" t="s">
        <v>457</v>
      </c>
      <c r="N30" s="562"/>
      <c r="O30" s="572" t="str">
        <f>IF(U12組合せ!I27="","未定",U12組合せ!I27)</f>
        <v>平出北 PM</v>
      </c>
      <c r="P30" s="573"/>
      <c r="Q30" s="573"/>
      <c r="R30" s="574"/>
      <c r="S30" s="561" t="s">
        <v>457</v>
      </c>
      <c r="T30" s="562"/>
      <c r="U30" s="572" t="str">
        <f>IF(U12組合せ!K27="","未定",U12組合せ!K27)</f>
        <v>平出南　PM</v>
      </c>
      <c r="V30" s="573"/>
      <c r="W30" s="573"/>
      <c r="X30" s="574"/>
      <c r="Z30" t="str">
        <f>IF(COUNTIF(C30,"石井*AM*"),"AM",IF(COUNTIF(C30,"*PM*"),"PM","AMF"))</f>
        <v>PM</v>
      </c>
      <c r="AA30" t="str">
        <f>IF(COUNTIF(I30,"石井*AM*"),"AM",IF(COUNTIF(I30,"*PM*"),"PM","AMF"))</f>
        <v>AMF</v>
      </c>
      <c r="AB30" t="str">
        <f>IF(COUNTIF(O30,"*石井*AM*"),"AM",IF(COUNTIF(O30,"*PM*"),"PM","AMF"))</f>
        <v>PM</v>
      </c>
      <c r="AC30" t="str">
        <f>IF(COUNTIF(U30,"石井*AM*"),"AM",IF(COUNTIF(U30,"*PM*"),"PM","AMF"))</f>
        <v>PM</v>
      </c>
    </row>
    <row r="31" spans="1:34" x14ac:dyDescent="0.4">
      <c r="A31" s="548" t="s">
        <v>31</v>
      </c>
      <c r="B31" s="549"/>
      <c r="C31" s="556" t="str">
        <f>Ａブロック対戦表!T97</f>
        <v>ＳＵＧＡＯ・ＳＣ</v>
      </c>
      <c r="D31" s="557"/>
      <c r="E31" s="557"/>
      <c r="F31" s="558"/>
      <c r="G31" s="548" t="s">
        <v>31</v>
      </c>
      <c r="H31" s="549"/>
      <c r="I31" s="556" t="str">
        <f>Bブロック対戦表!T98</f>
        <v>スポルト宇都宮U12</v>
      </c>
      <c r="J31" s="557"/>
      <c r="K31" s="557"/>
      <c r="L31" s="558"/>
      <c r="M31" s="548" t="s">
        <v>31</v>
      </c>
      <c r="N31" s="549"/>
      <c r="O31" s="556" t="str">
        <f>'Cブロック対戦表 '!T98</f>
        <v>みはらSC jr</v>
      </c>
      <c r="P31" s="557"/>
      <c r="Q31" s="557"/>
      <c r="R31" s="558"/>
      <c r="S31" s="548" t="s">
        <v>31</v>
      </c>
      <c r="T31" s="549"/>
      <c r="U31" s="556" t="str">
        <f>'Dブロック対戦表 '!T98</f>
        <v>清原フューチャーズ</v>
      </c>
      <c r="V31" s="557"/>
      <c r="W31" s="557"/>
      <c r="X31" s="558"/>
    </row>
    <row r="32" spans="1:34" x14ac:dyDescent="0.4">
      <c r="A32" s="343" t="str">
        <f>IF($Z30="AM",$Y$6,IF($Z30="PM",$Y$9,IF($Z30="AMF",$Y$6,"")))</f>
        <v>④</v>
      </c>
      <c r="B32" s="344">
        <f>IF(Z30="AM",$AB$1,IF(Z30="PM",$AB$3,IF(Z30="AMF",$AB$5,"")))</f>
        <v>0.5625</v>
      </c>
      <c r="C32" s="345">
        <v>1</v>
      </c>
      <c r="D32" s="346" t="s">
        <v>35</v>
      </c>
      <c r="E32" s="347">
        <v>4</v>
      </c>
      <c r="F32" s="348" t="s">
        <v>192</v>
      </c>
      <c r="G32" s="343" t="str">
        <f>IF($AA30="AM",$Y$6,IF($AA30="PM",$Y$9,IF($AA30="AMF",$Y$6,"")))</f>
        <v>①</v>
      </c>
      <c r="H32" s="344">
        <f>IF(AA30="AM",$AB$1,IF(AA30="PM",$AB$3,IF(AA30="AMF",$AB$5,"")))</f>
        <v>0.375</v>
      </c>
      <c r="I32" s="345">
        <v>1</v>
      </c>
      <c r="J32" s="346" t="s">
        <v>35</v>
      </c>
      <c r="K32" s="347">
        <v>4</v>
      </c>
      <c r="L32" s="348" t="s">
        <v>58</v>
      </c>
      <c r="M32" s="343" t="str">
        <f>IF($AB30="AM",$Y$6,IF($AB30="PM",$Y$9,IF($AB30="AMF",$Y$6,"")))</f>
        <v>④</v>
      </c>
      <c r="N32" s="344">
        <f>IF(AB30="AM",$AB$1,IF(AB30="PM",$AB$3,IF(AB30="AMF",$AB$5,"")))</f>
        <v>0.5625</v>
      </c>
      <c r="O32" s="345">
        <v>1</v>
      </c>
      <c r="P32" s="346" t="s">
        <v>35</v>
      </c>
      <c r="Q32" s="347">
        <v>5</v>
      </c>
      <c r="R32" s="348" t="s">
        <v>75</v>
      </c>
      <c r="S32" s="343" t="str">
        <f>IF($AC30="AM",$Y$6,IF($AC30="PM",$Y$9,IF($AC30="AMF",$Y$6,"")))</f>
        <v>④</v>
      </c>
      <c r="T32" s="344">
        <f>IF(AC30="AM",$AB$1,IF(AC30="PM",$AB$3,IF(AC30="AMF",$AB$5,"")))</f>
        <v>0.5625</v>
      </c>
      <c r="U32" s="345">
        <v>1</v>
      </c>
      <c r="V32" s="346" t="s">
        <v>35</v>
      </c>
      <c r="W32" s="347">
        <v>4</v>
      </c>
      <c r="X32" s="348" t="s">
        <v>58</v>
      </c>
    </row>
    <row r="33" spans="1:29" x14ac:dyDescent="0.4">
      <c r="A33" s="349" t="str">
        <f>IF(A32="①","②",IF(A32="④","⑤",""))</f>
        <v>⑤</v>
      </c>
      <c r="B33" s="350">
        <f>B32+0.035</f>
        <v>0.59750000000000003</v>
      </c>
      <c r="C33" s="351">
        <v>5</v>
      </c>
      <c r="D33" s="352" t="s">
        <v>35</v>
      </c>
      <c r="E33" s="353">
        <v>8</v>
      </c>
      <c r="F33" s="354" t="s">
        <v>193</v>
      </c>
      <c r="G33" s="349" t="str">
        <f>IF(G32="①","②",IF(G32="④","⑤",""))</f>
        <v>②</v>
      </c>
      <c r="H33" s="350">
        <f>H32+0.042</f>
        <v>0.41699999999999998</v>
      </c>
      <c r="I33" s="351">
        <v>7</v>
      </c>
      <c r="J33" s="352" t="s">
        <v>35</v>
      </c>
      <c r="K33" s="353">
        <v>4</v>
      </c>
      <c r="L33" s="354" t="s">
        <v>57</v>
      </c>
      <c r="M33" s="349" t="str">
        <f>IF(M32="①","②",IF(M32="④","⑤",""))</f>
        <v>⑤</v>
      </c>
      <c r="N33" s="350">
        <f>N32+0.042</f>
        <v>0.60450000000000004</v>
      </c>
      <c r="O33" s="351">
        <v>9</v>
      </c>
      <c r="P33" s="352" t="s">
        <v>35</v>
      </c>
      <c r="Q33" s="353">
        <v>5</v>
      </c>
      <c r="R33" s="354" t="s">
        <v>76</v>
      </c>
      <c r="S33" s="349" t="str">
        <f>IF(S32="①","②",IF(S32="④","⑤",""))</f>
        <v>⑤</v>
      </c>
      <c r="T33" s="350">
        <f>T32+0.042</f>
        <v>0.60450000000000004</v>
      </c>
      <c r="U33" s="351">
        <v>7</v>
      </c>
      <c r="V33" s="352" t="s">
        <v>35</v>
      </c>
      <c r="W33" s="353">
        <v>4</v>
      </c>
      <c r="X33" s="354" t="s">
        <v>57</v>
      </c>
    </row>
    <row r="34" spans="1:29" x14ac:dyDescent="0.4">
      <c r="A34" s="349" t="str">
        <f>IF(A33="②","③",IF(A33="⑤","⑥",""))</f>
        <v>⑥</v>
      </c>
      <c r="B34" s="350">
        <f>B33+0.042</f>
        <v>0.63950000000000007</v>
      </c>
      <c r="C34" s="351">
        <v>1</v>
      </c>
      <c r="D34" s="352" t="s">
        <v>35</v>
      </c>
      <c r="E34" s="353">
        <v>8</v>
      </c>
      <c r="F34" s="354" t="s">
        <v>194</v>
      </c>
      <c r="G34" s="349" t="str">
        <f>IF(G33="②","③",IF(G33="⑤","⑥",""))</f>
        <v>③</v>
      </c>
      <c r="H34" s="350">
        <f>H33+0.042</f>
        <v>0.45899999999999996</v>
      </c>
      <c r="I34" s="351">
        <v>7</v>
      </c>
      <c r="J34" s="352" t="s">
        <v>35</v>
      </c>
      <c r="K34" s="353">
        <v>1</v>
      </c>
      <c r="L34" s="354" t="s">
        <v>56</v>
      </c>
      <c r="M34" s="349" t="str">
        <f>IF(M33="②","③",IF(M33="⑤","⑥",""))</f>
        <v>⑥</v>
      </c>
      <c r="N34" s="350">
        <f>N33+0.042</f>
        <v>0.64650000000000007</v>
      </c>
      <c r="O34" s="351">
        <v>9</v>
      </c>
      <c r="P34" s="352" t="s">
        <v>35</v>
      </c>
      <c r="Q34" s="353">
        <v>1</v>
      </c>
      <c r="R34" s="354" t="s">
        <v>77</v>
      </c>
      <c r="S34" s="349" t="str">
        <f>IF(S33="②","③",IF(S33="⑤","⑥",""))</f>
        <v>⑥</v>
      </c>
      <c r="T34" s="350">
        <f>T33+0.042</f>
        <v>0.64650000000000007</v>
      </c>
      <c r="U34" s="351">
        <v>7</v>
      </c>
      <c r="V34" s="352" t="s">
        <v>35</v>
      </c>
      <c r="W34" s="353">
        <v>1</v>
      </c>
      <c r="X34" s="354" t="s">
        <v>56</v>
      </c>
    </row>
    <row r="35" spans="1:29" x14ac:dyDescent="0.4">
      <c r="A35" s="355" t="str">
        <f>IF(A34="③","④",IF(A34="⑥","⑦",""))</f>
        <v>⑦</v>
      </c>
      <c r="B35" s="356">
        <f>B34+0.0345</f>
        <v>0.67400000000000004</v>
      </c>
      <c r="C35" s="357">
        <v>5</v>
      </c>
      <c r="D35" s="358"/>
      <c r="E35" s="359">
        <v>4</v>
      </c>
      <c r="F35" s="360" t="s">
        <v>195</v>
      </c>
      <c r="G35" s="355"/>
      <c r="H35" s="356"/>
      <c r="I35" s="357"/>
      <c r="J35" s="358"/>
      <c r="K35" s="359"/>
      <c r="L35" s="360"/>
      <c r="M35" s="355"/>
      <c r="N35" s="356"/>
      <c r="O35" s="357"/>
      <c r="P35" s="358"/>
      <c r="Q35" s="359"/>
      <c r="R35" s="360"/>
      <c r="S35" s="355"/>
      <c r="T35" s="356"/>
      <c r="U35" s="357"/>
      <c r="V35" s="358"/>
      <c r="W35" s="359"/>
      <c r="X35" s="360"/>
    </row>
    <row r="36" spans="1:29" ht="3.75" customHeight="1" x14ac:dyDescent="0.4">
      <c r="A36" s="29"/>
      <c r="B36" s="30"/>
      <c r="C36" s="31"/>
      <c r="D36" s="31"/>
      <c r="E36" s="31"/>
      <c r="F36" s="30"/>
      <c r="G36" s="30"/>
      <c r="H36" s="30"/>
      <c r="I36" s="31"/>
      <c r="J36" s="31"/>
      <c r="K36" s="31"/>
      <c r="L36" s="30"/>
      <c r="M36" s="30"/>
      <c r="N36" s="30"/>
      <c r="O36" s="77"/>
      <c r="P36" s="78"/>
      <c r="Q36" s="77"/>
      <c r="R36" s="79"/>
      <c r="S36" s="30"/>
      <c r="T36" s="30"/>
      <c r="U36" s="31"/>
      <c r="V36" s="31"/>
      <c r="W36" s="31"/>
      <c r="X36" s="32"/>
    </row>
    <row r="37" spans="1:29" x14ac:dyDescent="0.4">
      <c r="A37" s="546" t="s">
        <v>29</v>
      </c>
      <c r="B37" s="547"/>
      <c r="C37" s="563" t="str">
        <f>U12組合せ!E30</f>
        <v>A269</v>
      </c>
      <c r="D37" s="564"/>
      <c r="E37" s="564"/>
      <c r="F37" s="565"/>
      <c r="G37" s="546" t="s">
        <v>29</v>
      </c>
      <c r="H37" s="547"/>
      <c r="I37" s="563" t="str">
        <f>U12組合せ!G30</f>
        <v>B258</v>
      </c>
      <c r="J37" s="564"/>
      <c r="K37" s="564"/>
      <c r="L37" s="565"/>
      <c r="M37" s="546" t="s">
        <v>29</v>
      </c>
      <c r="N37" s="547"/>
      <c r="O37" s="563" t="str">
        <f>U12組合せ!I30</f>
        <v>C267</v>
      </c>
      <c r="P37" s="564"/>
      <c r="Q37" s="564"/>
      <c r="R37" s="565"/>
      <c r="S37" s="546" t="s">
        <v>29</v>
      </c>
      <c r="T37" s="547"/>
      <c r="U37" s="563" t="str">
        <f>U12組合せ!K30</f>
        <v>D258</v>
      </c>
      <c r="V37" s="564"/>
      <c r="W37" s="564"/>
      <c r="X37" s="565"/>
    </row>
    <row r="38" spans="1:29" x14ac:dyDescent="0.4">
      <c r="A38" s="538" t="s">
        <v>30</v>
      </c>
      <c r="B38" s="539"/>
      <c r="C38" s="550" t="str">
        <f>IF(U12組合せ!E29="","未定",U12組合せ!E29)</f>
        <v>平出北 AM</v>
      </c>
      <c r="D38" s="551"/>
      <c r="E38" s="551"/>
      <c r="F38" s="552"/>
      <c r="G38" s="538" t="s">
        <v>30</v>
      </c>
      <c r="H38" s="539"/>
      <c r="I38" s="550" t="str">
        <f>IF(U12組合せ!G29="","未定",U12組合せ!G29)</f>
        <v>石井 3 AM</v>
      </c>
      <c r="J38" s="551"/>
      <c r="K38" s="551"/>
      <c r="L38" s="552"/>
      <c r="M38" s="538" t="s">
        <v>71</v>
      </c>
      <c r="N38" s="539"/>
      <c r="O38" s="550" t="str">
        <f>IF(U12組合せ!I29="","未定",U12組合せ!I29)</f>
        <v>石井 4 AM</v>
      </c>
      <c r="P38" s="551"/>
      <c r="Q38" s="551"/>
      <c r="R38" s="552"/>
      <c r="S38" s="538" t="s">
        <v>71</v>
      </c>
      <c r="T38" s="539"/>
      <c r="U38" s="550" t="str">
        <f>IF(U12組合せ!K29="","未定",U12組合せ!K29)</f>
        <v>陽東小 AM</v>
      </c>
      <c r="V38" s="551"/>
      <c r="W38" s="551"/>
      <c r="X38" s="552"/>
      <c r="Z38" t="str">
        <f>IF(COUNTIF(C38,"石井*AM*"),"AM",IF(COUNTIF(C38,"*PM*"),"PM","AMF"))</f>
        <v>AMF</v>
      </c>
      <c r="AA38" t="str">
        <f>IF(COUNTIF(I38,"石井*AM*"),"AM",IF(COUNTIF(I38,"*PM*"),"PM","AMF"))</f>
        <v>AM</v>
      </c>
      <c r="AB38" t="str">
        <f>IF(COUNTIF(O38,"*石井*AM*"),"AM",IF(COUNTIF(O38,"*PM*"),"PM","AMF"))</f>
        <v>AM</v>
      </c>
      <c r="AC38" t="str">
        <f>IF(COUNTIF(U38,"石井*AM*"),"AM",IF(COUNTIF(U38,"*PM*"),"PM","AMF"))</f>
        <v>AMF</v>
      </c>
    </row>
    <row r="39" spans="1:29" x14ac:dyDescent="0.4">
      <c r="A39" s="538" t="s">
        <v>31</v>
      </c>
      <c r="B39" s="539"/>
      <c r="C39" s="556" t="str">
        <f>Ａブロック対戦表!T129</f>
        <v>Ｓ４スペランツァ</v>
      </c>
      <c r="D39" s="557"/>
      <c r="E39" s="557"/>
      <c r="F39" s="558"/>
      <c r="G39" s="538" t="s">
        <v>31</v>
      </c>
      <c r="H39" s="539"/>
      <c r="I39" s="556" t="str">
        <f>Bブロック対戦表!T129</f>
        <v>宇都宮FCジュニア</v>
      </c>
      <c r="J39" s="557"/>
      <c r="K39" s="557"/>
      <c r="L39" s="558"/>
      <c r="M39" s="538" t="s">
        <v>31</v>
      </c>
      <c r="N39" s="539"/>
      <c r="O39" s="575" t="str">
        <f>'Cブロック対戦表 '!T130</f>
        <v>カテット白沢SS</v>
      </c>
      <c r="P39" s="576"/>
      <c r="Q39" s="576"/>
      <c r="R39" s="577"/>
      <c r="S39" s="538" t="s">
        <v>31</v>
      </c>
      <c r="T39" s="539"/>
      <c r="U39" s="556" t="str">
        <f>'Dブロック対戦表 '!T130</f>
        <v>陽東SSS</v>
      </c>
      <c r="V39" s="557"/>
      <c r="W39" s="557"/>
      <c r="X39" s="558"/>
      <c r="Z39" s="28"/>
    </row>
    <row r="40" spans="1:29" x14ac:dyDescent="0.4">
      <c r="A40" s="343" t="str">
        <f>IF($Z38="AM",$Y$6,IF($Z38="PM",$Y$9,IF($Z38="AMF",$Y$6,"")))</f>
        <v>①</v>
      </c>
      <c r="B40" s="344">
        <f>IF(Z38="AM",$AB$1,IF(Z38="PM",$AB$3,IF(Z38="AMF",$AB$5,"")))</f>
        <v>0.375</v>
      </c>
      <c r="C40" s="361">
        <v>2</v>
      </c>
      <c r="D40" s="362" t="s">
        <v>35</v>
      </c>
      <c r="E40" s="363">
        <v>6</v>
      </c>
      <c r="F40" s="364" t="s">
        <v>196</v>
      </c>
      <c r="G40" s="343" t="str">
        <f>IF($AA38="AM",$Y$6,IF($AA38="PM",$Y$9,IF($AA38="AMF",$Y$6,"")))</f>
        <v>①</v>
      </c>
      <c r="H40" s="344">
        <f>IF(AA38="AM",$AB$1,IF(AA38="PM",$AB$3,IF(AA38="AMF",$AB$5,"")))</f>
        <v>0.375</v>
      </c>
      <c r="I40" s="361">
        <v>2</v>
      </c>
      <c r="J40" s="362" t="s">
        <v>35</v>
      </c>
      <c r="K40" s="363">
        <v>5</v>
      </c>
      <c r="L40" s="364" t="s">
        <v>54</v>
      </c>
      <c r="M40" s="343" t="str">
        <f>IF($AB38="AM",$Y$6,IF($AB38="PM",$Y$9,IF($AB38="AMF",$Y$6,"")))</f>
        <v>①</v>
      </c>
      <c r="N40" s="344">
        <f>IF(AB38="AM",$AB$1,IF(AB38="PM",$AB$3,IF(AB38="AMF",$AB$5,"")))</f>
        <v>0.375</v>
      </c>
      <c r="O40" s="365">
        <v>2</v>
      </c>
      <c r="P40" s="366" t="s">
        <v>35</v>
      </c>
      <c r="Q40" s="367">
        <v>6</v>
      </c>
      <c r="R40" s="368" t="s">
        <v>267</v>
      </c>
      <c r="S40" s="343" t="str">
        <f>IF($AC38="AM",$Y$6,IF($AC38="PM",$Y$9,IF($AC38="AMF",$Y$6,"")))</f>
        <v>①</v>
      </c>
      <c r="T40" s="344">
        <f>IF(AC38="AM",$AB$1,IF(AC38="PM",$AB$3,IF(AC38="AMF",$AB$5,"")))</f>
        <v>0.375</v>
      </c>
      <c r="U40" s="361">
        <v>2</v>
      </c>
      <c r="V40" s="362" t="s">
        <v>35</v>
      </c>
      <c r="W40" s="363">
        <v>5</v>
      </c>
      <c r="X40" s="364" t="s">
        <v>54</v>
      </c>
      <c r="Z40" s="28"/>
    </row>
    <row r="41" spans="1:29" x14ac:dyDescent="0.4">
      <c r="A41" s="349" t="str">
        <f>IF(A40="①","②",IF(A40="④","⑤",""))</f>
        <v>②</v>
      </c>
      <c r="B41" s="350">
        <f>B40+0.042</f>
        <v>0.41699999999999998</v>
      </c>
      <c r="C41" s="351">
        <v>2</v>
      </c>
      <c r="D41" s="352" t="s">
        <v>35</v>
      </c>
      <c r="E41" s="353">
        <v>9</v>
      </c>
      <c r="F41" s="354" t="s">
        <v>197</v>
      </c>
      <c r="G41" s="349" t="str">
        <f>IF(G40="①","②",IF(G40="④","⑤",""))</f>
        <v>②</v>
      </c>
      <c r="H41" s="350">
        <f>H40+0.042</f>
        <v>0.41699999999999998</v>
      </c>
      <c r="I41" s="351">
        <v>8</v>
      </c>
      <c r="J41" s="352" t="s">
        <v>35</v>
      </c>
      <c r="K41" s="353">
        <v>5</v>
      </c>
      <c r="L41" s="354" t="s">
        <v>52</v>
      </c>
      <c r="M41" s="349" t="str">
        <f>IF(M40="①","②",IF(M40="④","⑤",""))</f>
        <v>②</v>
      </c>
      <c r="N41" s="350">
        <f>N40+0.042</f>
        <v>0.41699999999999998</v>
      </c>
      <c r="O41" s="369">
        <v>7</v>
      </c>
      <c r="P41" s="370" t="s">
        <v>35</v>
      </c>
      <c r="Q41" s="371">
        <v>6</v>
      </c>
      <c r="R41" s="354" t="s">
        <v>268</v>
      </c>
      <c r="S41" s="349" t="str">
        <f>IF(S40="①","②",IF(S40="④","⑤",""))</f>
        <v>②</v>
      </c>
      <c r="T41" s="350">
        <f>T40+0.042</f>
        <v>0.41699999999999998</v>
      </c>
      <c r="U41" s="351">
        <v>8</v>
      </c>
      <c r="V41" s="352" t="s">
        <v>35</v>
      </c>
      <c r="W41" s="353">
        <v>5</v>
      </c>
      <c r="X41" s="354" t="s">
        <v>52</v>
      </c>
    </row>
    <row r="42" spans="1:29" ht="18.75" customHeight="1" x14ac:dyDescent="0.4">
      <c r="A42" s="355" t="str">
        <f>IF(A41="②","③",IF(A41="⑤","⑥",""))</f>
        <v>③</v>
      </c>
      <c r="B42" s="356">
        <f>B41+0.042</f>
        <v>0.45899999999999996</v>
      </c>
      <c r="C42" s="357">
        <v>6</v>
      </c>
      <c r="D42" s="358" t="s">
        <v>35</v>
      </c>
      <c r="E42" s="359">
        <v>9</v>
      </c>
      <c r="F42" s="360" t="s">
        <v>198</v>
      </c>
      <c r="G42" s="355" t="str">
        <f>IF(G41="②","③",IF(G41="⑤","⑥",""))</f>
        <v>③</v>
      </c>
      <c r="H42" s="356">
        <f>H41+0.042</f>
        <v>0.45899999999999996</v>
      </c>
      <c r="I42" s="357">
        <v>8</v>
      </c>
      <c r="J42" s="358" t="s">
        <v>35</v>
      </c>
      <c r="K42" s="359">
        <v>2</v>
      </c>
      <c r="L42" s="360" t="s">
        <v>50</v>
      </c>
      <c r="M42" s="355" t="str">
        <f>IF(M41="②","③",IF(M41="⑤","⑥",""))</f>
        <v>③</v>
      </c>
      <c r="N42" s="356">
        <f>N41+0.042</f>
        <v>0.45899999999999996</v>
      </c>
      <c r="O42" s="372">
        <v>7</v>
      </c>
      <c r="P42" s="373" t="s">
        <v>35</v>
      </c>
      <c r="Q42" s="374">
        <v>2</v>
      </c>
      <c r="R42" s="375" t="s">
        <v>269</v>
      </c>
      <c r="S42" s="355" t="str">
        <f>IF(S41="②","③",IF(S41="⑤","⑥",""))</f>
        <v>③</v>
      </c>
      <c r="T42" s="356">
        <f>T41+0.042</f>
        <v>0.45899999999999996</v>
      </c>
      <c r="U42" s="357">
        <v>8</v>
      </c>
      <c r="V42" s="358" t="s">
        <v>35</v>
      </c>
      <c r="W42" s="359">
        <v>2</v>
      </c>
      <c r="X42" s="360" t="s">
        <v>50</v>
      </c>
    </row>
    <row r="43" spans="1:29" ht="6" customHeight="1" x14ac:dyDescent="0.4">
      <c r="A43" s="29"/>
      <c r="B43" s="30"/>
      <c r="C43" s="31"/>
      <c r="D43" s="31"/>
      <c r="E43" s="31"/>
      <c r="F43" s="30"/>
      <c r="G43" s="30"/>
      <c r="H43" s="30"/>
      <c r="I43" s="31"/>
      <c r="J43" s="31"/>
      <c r="K43" s="31"/>
      <c r="L43" s="30"/>
      <c r="M43" s="30"/>
      <c r="N43" s="30"/>
      <c r="S43" s="30"/>
      <c r="T43" s="30"/>
      <c r="U43" s="31"/>
      <c r="V43" s="31"/>
      <c r="W43" s="31"/>
      <c r="X43" s="32"/>
    </row>
    <row r="44" spans="1:29" ht="18.75" customHeight="1" x14ac:dyDescent="0.4">
      <c r="A44" s="546" t="s">
        <v>29</v>
      </c>
      <c r="B44" s="547"/>
      <c r="C44" s="563" t="str">
        <f>U12組合せ!E32</f>
        <v>A3710</v>
      </c>
      <c r="D44" s="564"/>
      <c r="E44" s="564"/>
      <c r="F44" s="565"/>
      <c r="G44" s="546" t="s">
        <v>29</v>
      </c>
      <c r="H44" s="547"/>
      <c r="I44" s="563" t="str">
        <f>U12組合せ!G32</f>
        <v>B369</v>
      </c>
      <c r="J44" s="564"/>
      <c r="K44" s="564"/>
      <c r="L44" s="565"/>
      <c r="M44" s="546" t="s">
        <v>29</v>
      </c>
      <c r="N44" s="547"/>
      <c r="O44" s="563" t="str">
        <f>U12組合せ!I32</f>
        <v>C348</v>
      </c>
      <c r="P44" s="564"/>
      <c r="Q44" s="564"/>
      <c r="R44" s="565"/>
      <c r="S44" s="546" t="s">
        <v>29</v>
      </c>
      <c r="T44" s="547"/>
      <c r="U44" s="563" t="str">
        <f>U12組合せ!K32</f>
        <v>D369</v>
      </c>
      <c r="V44" s="564"/>
      <c r="W44" s="564"/>
      <c r="X44" s="565"/>
    </row>
    <row r="45" spans="1:29" x14ac:dyDescent="0.4">
      <c r="A45" s="538" t="s">
        <v>30</v>
      </c>
      <c r="B45" s="539"/>
      <c r="C45" s="550" t="str">
        <f>IF(U12組合せ!E31="","未定",U12組合せ!E31)</f>
        <v>GP白沢南 PM</v>
      </c>
      <c r="D45" s="551"/>
      <c r="E45" s="551"/>
      <c r="F45" s="552"/>
      <c r="G45" s="538" t="s">
        <v>30</v>
      </c>
      <c r="H45" s="539"/>
      <c r="I45" s="550" t="str">
        <f>IF(U12組合せ!G31="","未定",U12組合せ!G31)</f>
        <v>雀宮南小 AM</v>
      </c>
      <c r="J45" s="551"/>
      <c r="K45" s="551"/>
      <c r="L45" s="552"/>
      <c r="M45" s="538" t="s">
        <v>71</v>
      </c>
      <c r="N45" s="539"/>
      <c r="O45" s="550" t="str">
        <f>IF(U12組合せ!I31="","未定",U12組合せ!I31)</f>
        <v>石井 5 AM</v>
      </c>
      <c r="P45" s="551"/>
      <c r="Q45" s="551"/>
      <c r="R45" s="552"/>
      <c r="S45" s="538" t="s">
        <v>71</v>
      </c>
      <c r="T45" s="539"/>
      <c r="U45" s="550" t="str">
        <f>IF(U12組合せ!K31="","未定",U12組合せ!K31)</f>
        <v>石井 6 AM</v>
      </c>
      <c r="V45" s="551"/>
      <c r="W45" s="551"/>
      <c r="X45" s="552"/>
      <c r="Z45" t="str">
        <f>IF(COUNTIF(C45,"石井*AM*"),"AM",IF(COUNTIF(C45,"*PM*"),"PM","AMF"))</f>
        <v>PM</v>
      </c>
      <c r="AA45" s="376" t="str">
        <f>IF(COUNTIF(I45,"石井*AM*"),"AM",IF(COUNTIF(I45,"*PM*"),"PM","AMF"))</f>
        <v>AMF</v>
      </c>
      <c r="AB45" t="str">
        <f>IF(COUNTIF(O45,"*石井*AM*"),"AM",IF(COUNTIF(O45,"*PM*"),"PM","AMF"))</f>
        <v>AM</v>
      </c>
      <c r="AC45" t="str">
        <f>IF(COUNTIF(U45,"石井*AM*"),"AM",IF(COUNTIF(U45,"*PM*"),"PM","AMF"))</f>
        <v>AM</v>
      </c>
    </row>
    <row r="46" spans="1:29" x14ac:dyDescent="0.4">
      <c r="A46" s="538" t="s">
        <v>31</v>
      </c>
      <c r="B46" s="539"/>
      <c r="C46" s="556" t="str">
        <f>Ａブロック対戦表!T160</f>
        <v>FCアネーロ・U-12</v>
      </c>
      <c r="D46" s="557"/>
      <c r="E46" s="557"/>
      <c r="F46" s="558"/>
      <c r="G46" s="538" t="s">
        <v>31</v>
      </c>
      <c r="H46" s="539"/>
      <c r="I46" s="556" t="str">
        <f>Bブロック対戦表!T160</f>
        <v>サウス宇都宮SC</v>
      </c>
      <c r="J46" s="557"/>
      <c r="K46" s="557"/>
      <c r="L46" s="558"/>
      <c r="M46" s="538" t="s">
        <v>31</v>
      </c>
      <c r="N46" s="539"/>
      <c r="O46" s="575" t="str">
        <f>'Cブロック対戦表 '!T162</f>
        <v>リフレSCチェルビアット</v>
      </c>
      <c r="P46" s="576"/>
      <c r="Q46" s="576"/>
      <c r="R46" s="577"/>
      <c r="S46" s="538" t="s">
        <v>31</v>
      </c>
      <c r="T46" s="539"/>
      <c r="U46" s="556" t="str">
        <f>'Dブロック対戦表 '!T162</f>
        <v>SUGAOプロミネンス</v>
      </c>
      <c r="V46" s="557"/>
      <c r="W46" s="557"/>
      <c r="X46" s="558"/>
      <c r="Z46" s="28"/>
    </row>
    <row r="47" spans="1:29" x14ac:dyDescent="0.4">
      <c r="A47" s="343" t="str">
        <f>IF($Z45="AM",$Y$6,IF($Z45="PM",$Y$9,IF($Z45="AMF",$Y$6,"")))</f>
        <v>④</v>
      </c>
      <c r="B47" s="344">
        <f>IF(Z45="AM",$AB$1,IF(Z45="PM",$AB$3,IF(Z45="AMF",$AB$5,"")))</f>
        <v>0.5625</v>
      </c>
      <c r="C47" s="361">
        <v>3</v>
      </c>
      <c r="D47" s="362" t="s">
        <v>35</v>
      </c>
      <c r="E47" s="363">
        <v>7</v>
      </c>
      <c r="F47" s="364" t="s">
        <v>199</v>
      </c>
      <c r="G47" s="343" t="str">
        <f>IF($AA45="AM",$Y$6,IF($AA45="PM",$Y$9,IF($AA45="AMF",$Y$6,"")))</f>
        <v>①</v>
      </c>
      <c r="H47" s="344">
        <f>IF(AA45="AM",$AB$1,IF(AA45="PM",$AB$3,IF(AA45="AMF",$AB$5,"")))</f>
        <v>0.375</v>
      </c>
      <c r="I47" s="361">
        <v>3</v>
      </c>
      <c r="J47" s="362" t="s">
        <v>35</v>
      </c>
      <c r="K47" s="363">
        <v>6</v>
      </c>
      <c r="L47" s="364" t="s">
        <v>55</v>
      </c>
      <c r="M47" s="343" t="str">
        <f>IF($AB45="AM",$Y$6,IF($AB45="PM",$Y$9,IF($AB45="AMF",$Y$6,"")))</f>
        <v>①</v>
      </c>
      <c r="N47" s="344">
        <f>IF(AB45="AM",$AB$1,IF(AB45="PM",$AB$3,IF(AB45="AMF",$AB$5,"")))</f>
        <v>0.375</v>
      </c>
      <c r="O47" s="365">
        <v>3</v>
      </c>
      <c r="P47" s="366" t="s">
        <v>35</v>
      </c>
      <c r="Q47" s="367">
        <v>4</v>
      </c>
      <c r="R47" s="368" t="s">
        <v>270</v>
      </c>
      <c r="S47" s="343" t="str">
        <f>IF($AC45="AM",$Y$6,IF($AC45="PM",$Y$9,IF($AC45="AMF",$Y$6,"")))</f>
        <v>①</v>
      </c>
      <c r="T47" s="344">
        <f>IF(AC45="AM",$AB$1,IF(AC45="PM",$AB$3,IF(AC45="AMF",$AB$5,"")))</f>
        <v>0.375</v>
      </c>
      <c r="U47" s="361">
        <v>3</v>
      </c>
      <c r="V47" s="362" t="s">
        <v>35</v>
      </c>
      <c r="W47" s="363">
        <v>6</v>
      </c>
      <c r="X47" s="364" t="s">
        <v>55</v>
      </c>
      <c r="Z47" s="28"/>
    </row>
    <row r="48" spans="1:29" x14ac:dyDescent="0.4">
      <c r="A48" s="349" t="str">
        <f>IF(A47="①","②",IF(A47="④","⑤",""))</f>
        <v>⑤</v>
      </c>
      <c r="B48" s="350">
        <f>B47+0.042</f>
        <v>0.60450000000000004</v>
      </c>
      <c r="C48" s="351">
        <v>10</v>
      </c>
      <c r="D48" s="352" t="s">
        <v>35</v>
      </c>
      <c r="E48" s="353">
        <v>7</v>
      </c>
      <c r="F48" s="354" t="s">
        <v>200</v>
      </c>
      <c r="G48" s="349" t="str">
        <f>IF(G47="①","②",IF(G47="④","⑤",""))</f>
        <v>②</v>
      </c>
      <c r="H48" s="350">
        <f>H47+0.042</f>
        <v>0.41699999999999998</v>
      </c>
      <c r="I48" s="351">
        <v>9</v>
      </c>
      <c r="J48" s="352" t="s">
        <v>35</v>
      </c>
      <c r="K48" s="353">
        <v>6</v>
      </c>
      <c r="L48" s="354" t="s">
        <v>53</v>
      </c>
      <c r="M48" s="349" t="str">
        <f>IF(M47="①","②",IF(M47="④","⑤",""))</f>
        <v>②</v>
      </c>
      <c r="N48" s="350">
        <f>N47+0.042</f>
        <v>0.41699999999999998</v>
      </c>
      <c r="O48" s="369">
        <v>8</v>
      </c>
      <c r="P48" s="370" t="s">
        <v>35</v>
      </c>
      <c r="Q48" s="371">
        <v>4</v>
      </c>
      <c r="R48" s="354" t="s">
        <v>271</v>
      </c>
      <c r="S48" s="349" t="str">
        <f>IF(S47="①","②",IF(S47="④","⑤",""))</f>
        <v>②</v>
      </c>
      <c r="T48" s="350">
        <f>T47+0.042</f>
        <v>0.41699999999999998</v>
      </c>
      <c r="U48" s="351">
        <v>9</v>
      </c>
      <c r="V48" s="352" t="s">
        <v>35</v>
      </c>
      <c r="W48" s="353">
        <v>6</v>
      </c>
      <c r="X48" s="354" t="s">
        <v>53</v>
      </c>
    </row>
    <row r="49" spans="1:34" x14ac:dyDescent="0.4">
      <c r="A49" s="355" t="str">
        <f>IF(A48="②","③",IF(A48="⑤","⑥",""))</f>
        <v>⑥</v>
      </c>
      <c r="B49" s="356">
        <f>B48+0.042</f>
        <v>0.64650000000000007</v>
      </c>
      <c r="C49" s="357">
        <v>10</v>
      </c>
      <c r="D49" s="358" t="s">
        <v>35</v>
      </c>
      <c r="E49" s="359">
        <v>3</v>
      </c>
      <c r="F49" s="360" t="s">
        <v>201</v>
      </c>
      <c r="G49" s="355" t="str">
        <f>IF(G48="②","③",IF(G48="⑤","⑥",""))</f>
        <v>③</v>
      </c>
      <c r="H49" s="356">
        <f>H48+0.042</f>
        <v>0.45899999999999996</v>
      </c>
      <c r="I49" s="357">
        <v>9</v>
      </c>
      <c r="J49" s="358" t="s">
        <v>35</v>
      </c>
      <c r="K49" s="359">
        <v>3</v>
      </c>
      <c r="L49" s="360" t="s">
        <v>51</v>
      </c>
      <c r="M49" s="355" t="str">
        <f>IF(M48="②","③",IF(M48="⑤","⑥",""))</f>
        <v>③</v>
      </c>
      <c r="N49" s="356">
        <f>N48+0.042</f>
        <v>0.45899999999999996</v>
      </c>
      <c r="O49" s="372">
        <v>8</v>
      </c>
      <c r="P49" s="373" t="s">
        <v>35</v>
      </c>
      <c r="Q49" s="374">
        <v>3</v>
      </c>
      <c r="R49" s="375" t="s">
        <v>272</v>
      </c>
      <c r="S49" s="355" t="str">
        <f>IF(S48="②","③",IF(S48="⑤","⑥",""))</f>
        <v>③</v>
      </c>
      <c r="T49" s="356">
        <f>T48+0.042</f>
        <v>0.45899999999999996</v>
      </c>
      <c r="U49" s="357">
        <v>9</v>
      </c>
      <c r="V49" s="358" t="s">
        <v>35</v>
      </c>
      <c r="W49" s="359">
        <v>3</v>
      </c>
      <c r="X49" s="360" t="s">
        <v>51</v>
      </c>
    </row>
    <row r="50" spans="1:34" x14ac:dyDescent="0.4">
      <c r="A50" s="62"/>
      <c r="B50" s="63"/>
      <c r="C50" s="31"/>
      <c r="D50" s="64"/>
      <c r="E50" s="31"/>
      <c r="F50" s="65"/>
      <c r="G50" s="62"/>
      <c r="H50" s="63"/>
      <c r="I50" s="31"/>
      <c r="J50" s="64"/>
      <c r="K50" s="31"/>
      <c r="L50" s="65"/>
      <c r="M50" s="62"/>
      <c r="N50" s="63"/>
      <c r="S50" s="62"/>
      <c r="T50" s="63"/>
      <c r="U50" s="31"/>
      <c r="V50" s="64"/>
      <c r="W50" s="31"/>
      <c r="X50" s="65"/>
    </row>
    <row r="51" spans="1:34" ht="24" x14ac:dyDescent="0.4">
      <c r="A51" s="25" t="s">
        <v>72</v>
      </c>
      <c r="B51" s="25"/>
      <c r="C51" s="26"/>
      <c r="D51" s="26"/>
      <c r="E51" s="26"/>
      <c r="F51" s="27">
        <f>U12組合せ!B33</f>
        <v>44325</v>
      </c>
      <c r="G51" s="25"/>
      <c r="H51" s="27" t="str">
        <f>"("&amp;U12組合せ!C33&amp;")"</f>
        <v>(日)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34" ht="3.75" customHeight="1" x14ac:dyDescent="0.4"/>
    <row r="53" spans="1:34" s="392" customFormat="1" x14ac:dyDescent="0.4">
      <c r="A53" s="559" t="s">
        <v>29</v>
      </c>
      <c r="B53" s="560"/>
      <c r="C53" s="553" t="str">
        <f>U12組合せ!E34</f>
        <v>A2359</v>
      </c>
      <c r="D53" s="554"/>
      <c r="E53" s="554"/>
      <c r="F53" s="555"/>
      <c r="G53" s="559" t="s">
        <v>29</v>
      </c>
      <c r="H53" s="560"/>
      <c r="I53" s="553" t="str">
        <f>U12組合せ!G34</f>
        <v>B159</v>
      </c>
      <c r="J53" s="554"/>
      <c r="K53" s="554"/>
      <c r="L53" s="555"/>
      <c r="M53" s="559" t="s">
        <v>29</v>
      </c>
      <c r="N53" s="560"/>
      <c r="O53" s="553" t="str">
        <f>U12組合せ!I34</f>
        <v>C168</v>
      </c>
      <c r="P53" s="554"/>
      <c r="Q53" s="554"/>
      <c r="R53" s="555"/>
      <c r="S53" s="559" t="s">
        <v>29</v>
      </c>
      <c r="T53" s="560"/>
      <c r="U53" s="553" t="str">
        <f>U12組合せ!K34</f>
        <v>D159</v>
      </c>
      <c r="V53" s="554"/>
      <c r="W53" s="554"/>
      <c r="X53" s="555"/>
      <c r="AE53" s="61"/>
      <c r="AF53" s="61"/>
      <c r="AG53" s="61"/>
      <c r="AH53" s="61"/>
    </row>
    <row r="54" spans="1:34" s="392" customFormat="1" x14ac:dyDescent="0.4">
      <c r="A54" s="561" t="s">
        <v>30</v>
      </c>
      <c r="B54" s="562"/>
      <c r="C54" s="572" t="str">
        <f>IF(U12組合せ!E33="","未定",U12組合せ!E33)</f>
        <v>GP白沢 北 PM</v>
      </c>
      <c r="D54" s="573"/>
      <c r="E54" s="573"/>
      <c r="F54" s="574"/>
      <c r="G54" s="561" t="s">
        <v>30</v>
      </c>
      <c r="H54" s="562"/>
      <c r="I54" s="572" t="str">
        <f>IF(U12組合せ!G33="","未定",U12組合せ!G33)</f>
        <v>雀宮南小 AM</v>
      </c>
      <c r="J54" s="573"/>
      <c r="K54" s="573"/>
      <c r="L54" s="574"/>
      <c r="M54" s="561" t="s">
        <v>457</v>
      </c>
      <c r="N54" s="562"/>
      <c r="O54" s="572" t="str">
        <f>IF(U12組合せ!I33="","未定",U12組合せ!I33)</f>
        <v>石井 6 AM</v>
      </c>
      <c r="P54" s="573"/>
      <c r="Q54" s="573"/>
      <c r="R54" s="574"/>
      <c r="S54" s="561" t="s">
        <v>457</v>
      </c>
      <c r="T54" s="562"/>
      <c r="U54" s="572" t="str">
        <f>IF(U12組合せ!K33="","未定",U12組合せ!K33)</f>
        <v>GP白沢 南 AM</v>
      </c>
      <c r="V54" s="573"/>
      <c r="W54" s="573"/>
      <c r="X54" s="574"/>
      <c r="Z54" s="392" t="str">
        <f>IF(COUNTIF(C54,"石井*AM*"),"AM",IF(COUNTIF(C54,"*PM*"),"PM","AMF"))</f>
        <v>PM</v>
      </c>
      <c r="AA54" s="392" t="str">
        <f>IF(COUNTIF(I54,"石井*AM*"),"AM",IF(COUNTIF(I54,"*PM*"),"PM","AMF"))</f>
        <v>AMF</v>
      </c>
      <c r="AB54" s="392" t="str">
        <f>IF(COUNTIF(O54,"*石井*AM*"),"AM",IF(COUNTIF(O54,"*PM*"),"PM","AMF"))</f>
        <v>AM</v>
      </c>
      <c r="AC54" s="392" t="str">
        <f>IF(COUNTIF(U54,"石井*AM*"),"AM",IF(COUNTIF(U54,"*PM*"),"PM","AMF"))</f>
        <v>AMF</v>
      </c>
      <c r="AE54" s="61"/>
      <c r="AF54" s="61"/>
      <c r="AG54" s="61"/>
      <c r="AH54" s="61"/>
    </row>
    <row r="55" spans="1:34" s="392" customFormat="1" x14ac:dyDescent="0.4">
      <c r="A55" s="581" t="s">
        <v>31</v>
      </c>
      <c r="B55" s="582"/>
      <c r="C55" s="566" t="str">
        <f ca="1">Ａブロック対戦表!T191</f>
        <v>unionscU12</v>
      </c>
      <c r="D55" s="567"/>
      <c r="E55" s="567"/>
      <c r="F55" s="568"/>
      <c r="G55" s="581" t="s">
        <v>31</v>
      </c>
      <c r="H55" s="582"/>
      <c r="I55" s="566" t="str">
        <f>Bブロック対戦表!T190</f>
        <v>サウス宇都宮SC</v>
      </c>
      <c r="J55" s="567"/>
      <c r="K55" s="567"/>
      <c r="L55" s="568"/>
      <c r="M55" s="581" t="s">
        <v>31</v>
      </c>
      <c r="N55" s="582"/>
      <c r="O55" s="566" t="str">
        <f>'Cブロック対戦表 '!T194</f>
        <v>FCみらいP</v>
      </c>
      <c r="P55" s="567"/>
      <c r="Q55" s="567"/>
      <c r="R55" s="568"/>
      <c r="S55" s="581" t="s">
        <v>31</v>
      </c>
      <c r="T55" s="582"/>
      <c r="U55" s="566" t="str">
        <f>'Dブロック対戦表 '!T194</f>
        <v>ジュベニール</v>
      </c>
      <c r="V55" s="567"/>
      <c r="W55" s="567"/>
      <c r="X55" s="568"/>
      <c r="AE55" s="61"/>
      <c r="AF55" s="61"/>
      <c r="AG55" s="61"/>
      <c r="AH55" s="61"/>
    </row>
    <row r="56" spans="1:34" s="392" customFormat="1" x14ac:dyDescent="0.4">
      <c r="A56" s="343" t="str">
        <f>IF($Z54="AM",$Y$6,IF($Z54="PM",$Y$9,IF($Z54="AMF",$Y$6,"")))</f>
        <v>④</v>
      </c>
      <c r="B56" s="344">
        <f>IF(Z54="AM",$AB$1,IF(Z54="PM",$AB$3,IF(Z54="AMF",$AB$5,"")))</f>
        <v>0.5625</v>
      </c>
      <c r="C56" s="345">
        <v>2</v>
      </c>
      <c r="D56" s="346" t="s">
        <v>35</v>
      </c>
      <c r="E56" s="347">
        <v>3</v>
      </c>
      <c r="F56" s="400" t="s">
        <v>567</v>
      </c>
      <c r="G56" s="343" t="str">
        <f>IF($AA54="AM",$Y$6,IF($AA54="PM",$Y$9,IF($AA54="AMF",$Y$6,"")))</f>
        <v>①</v>
      </c>
      <c r="H56" s="344">
        <f>IF(AA54="AM",$AB$1,IF(AA54="PM",$AB$3,IF(AA54="AMF",$AB$5,"")))</f>
        <v>0.375</v>
      </c>
      <c r="I56" s="345">
        <v>1</v>
      </c>
      <c r="J56" s="346" t="s">
        <v>35</v>
      </c>
      <c r="K56" s="347">
        <v>5</v>
      </c>
      <c r="L56" s="348" t="s">
        <v>75</v>
      </c>
      <c r="M56" s="343" t="str">
        <f>IF($AB54="AM",$Y$6,IF($AB54="PM",$Y$9,IF($AB54="AMF",$Y$6,"")))</f>
        <v>①</v>
      </c>
      <c r="N56" s="344">
        <f>IF(AB54="AM",$AB$1,IF(AB54="PM",$AB$3,IF(AB54="AMF",$AB$5,"")))</f>
        <v>0.375</v>
      </c>
      <c r="O56" s="345">
        <v>1</v>
      </c>
      <c r="P56" s="346" t="s">
        <v>35</v>
      </c>
      <c r="Q56" s="347">
        <v>6</v>
      </c>
      <c r="R56" s="348" t="s">
        <v>568</v>
      </c>
      <c r="S56" s="343" t="str">
        <f>IF($AC54="AM",$Y$6,IF($AC54="PM",$Y$9,IF($AC54="AMF",$Y$6,"")))</f>
        <v>①</v>
      </c>
      <c r="T56" s="344">
        <f>IF(AC54="AM",$AB$1,IF(AC54="PM",$AB$3,IF(AC54="AMF",$AB$5,"")))</f>
        <v>0.375</v>
      </c>
      <c r="U56" s="345">
        <v>1</v>
      </c>
      <c r="V56" s="346" t="s">
        <v>35</v>
      </c>
      <c r="W56" s="347">
        <v>5</v>
      </c>
      <c r="X56" s="348" t="s">
        <v>571</v>
      </c>
      <c r="AE56" s="61"/>
      <c r="AF56" s="61"/>
      <c r="AG56" s="61"/>
      <c r="AH56" s="61"/>
    </row>
    <row r="57" spans="1:34" s="392" customFormat="1" x14ac:dyDescent="0.4">
      <c r="A57" s="349" t="str">
        <f>IF(A56="①","②",IF(A56="④","⑤",""))</f>
        <v>⑤</v>
      </c>
      <c r="B57" s="350">
        <f>B56+0.035</f>
        <v>0.59750000000000003</v>
      </c>
      <c r="C57" s="351">
        <v>9</v>
      </c>
      <c r="D57" s="352" t="s">
        <v>35</v>
      </c>
      <c r="E57" s="353">
        <v>5</v>
      </c>
      <c r="F57" s="390" t="s">
        <v>615</v>
      </c>
      <c r="G57" s="349" t="str">
        <f>IF(G56="①","②",IF(G56="④","⑤",""))</f>
        <v>②</v>
      </c>
      <c r="H57" s="350">
        <f>H56+0.042</f>
        <v>0.41699999999999998</v>
      </c>
      <c r="I57" s="351">
        <v>9</v>
      </c>
      <c r="J57" s="352" t="s">
        <v>35</v>
      </c>
      <c r="K57" s="353">
        <v>5</v>
      </c>
      <c r="L57" s="390" t="s">
        <v>76</v>
      </c>
      <c r="M57" s="349" t="str">
        <f>IF(M56="①","②",IF(M56="④","⑤",""))</f>
        <v>②</v>
      </c>
      <c r="N57" s="350">
        <f>N56+0.042</f>
        <v>0.41699999999999998</v>
      </c>
      <c r="O57" s="351">
        <v>8</v>
      </c>
      <c r="P57" s="352" t="s">
        <v>35</v>
      </c>
      <c r="Q57" s="353">
        <v>6</v>
      </c>
      <c r="R57" s="390" t="s">
        <v>569</v>
      </c>
      <c r="S57" s="349" t="str">
        <f>IF(S56="①","②",IF(S56="④","⑤",""))</f>
        <v>②</v>
      </c>
      <c r="T57" s="350">
        <f>T56+0.042</f>
        <v>0.41699999999999998</v>
      </c>
      <c r="U57" s="351">
        <v>9</v>
      </c>
      <c r="V57" s="352" t="s">
        <v>35</v>
      </c>
      <c r="W57" s="353">
        <v>5</v>
      </c>
      <c r="X57" s="390" t="s">
        <v>572</v>
      </c>
      <c r="AE57" s="61"/>
      <c r="AF57" s="61"/>
      <c r="AG57" s="61"/>
      <c r="AH57" s="61"/>
    </row>
    <row r="58" spans="1:34" s="392" customFormat="1" x14ac:dyDescent="0.4">
      <c r="A58" s="349" t="str">
        <f>IF(A57="②","③",IF(A57="⑤","⑥",""))</f>
        <v>⑥</v>
      </c>
      <c r="B58" s="350">
        <f>B57+0.042</f>
        <v>0.63950000000000007</v>
      </c>
      <c r="C58" s="351">
        <v>2</v>
      </c>
      <c r="D58" s="352" t="s">
        <v>35</v>
      </c>
      <c r="E58" s="353">
        <v>5</v>
      </c>
      <c r="F58" s="390" t="s">
        <v>616</v>
      </c>
      <c r="G58" s="349" t="str">
        <f>IF(G57="②","③",IF(G57="⑤","⑥",""))</f>
        <v>③</v>
      </c>
      <c r="H58" s="350">
        <f>H57+0.042</f>
        <v>0.45899999999999996</v>
      </c>
      <c r="I58" s="351">
        <v>9</v>
      </c>
      <c r="J58" s="352" t="s">
        <v>35</v>
      </c>
      <c r="K58" s="353">
        <v>1</v>
      </c>
      <c r="L58" s="390" t="s">
        <v>77</v>
      </c>
      <c r="M58" s="349" t="str">
        <f>IF(M57="②","③",IF(M57="⑤","⑥",""))</f>
        <v>③</v>
      </c>
      <c r="N58" s="350">
        <f>N57+0.042</f>
        <v>0.45899999999999996</v>
      </c>
      <c r="O58" s="351">
        <v>8</v>
      </c>
      <c r="P58" s="352" t="s">
        <v>35</v>
      </c>
      <c r="Q58" s="353">
        <v>1</v>
      </c>
      <c r="R58" s="390" t="s">
        <v>570</v>
      </c>
      <c r="S58" s="349" t="str">
        <f>IF(S57="②","③",IF(S57="⑤","⑥",""))</f>
        <v>③</v>
      </c>
      <c r="T58" s="350">
        <f>T57+0.042</f>
        <v>0.45899999999999996</v>
      </c>
      <c r="U58" s="351">
        <v>9</v>
      </c>
      <c r="V58" s="352" t="s">
        <v>35</v>
      </c>
      <c r="W58" s="353">
        <v>1</v>
      </c>
      <c r="X58" s="390" t="s">
        <v>573</v>
      </c>
      <c r="AE58" s="61"/>
      <c r="AF58" s="61"/>
      <c r="AG58" s="61"/>
      <c r="AH58" s="61"/>
    </row>
    <row r="59" spans="1:34" s="392" customFormat="1" x14ac:dyDescent="0.4">
      <c r="A59" s="355" t="str">
        <f>IF(A58="③","④",IF(A58="⑥","⑦",""))</f>
        <v>⑦</v>
      </c>
      <c r="B59" s="356">
        <f>B58+0.0345</f>
        <v>0.67400000000000004</v>
      </c>
      <c r="C59" s="357">
        <v>3</v>
      </c>
      <c r="D59" s="358"/>
      <c r="E59" s="359">
        <v>9</v>
      </c>
      <c r="F59" s="360" t="s">
        <v>611</v>
      </c>
      <c r="G59" s="355"/>
      <c r="H59" s="356"/>
      <c r="I59" s="357"/>
      <c r="J59" s="358"/>
      <c r="K59" s="359"/>
      <c r="L59" s="360"/>
      <c r="M59" s="355"/>
      <c r="N59" s="356"/>
      <c r="O59" s="357"/>
      <c r="P59" s="358"/>
      <c r="Q59" s="359"/>
      <c r="R59" s="360"/>
      <c r="S59" s="355"/>
      <c r="T59" s="356"/>
      <c r="U59" s="357"/>
      <c r="V59" s="358"/>
      <c r="W59" s="359"/>
      <c r="X59" s="360"/>
      <c r="AE59" s="61"/>
      <c r="AF59" s="61"/>
      <c r="AG59" s="61"/>
      <c r="AH59" s="61"/>
    </row>
    <row r="60" spans="1:34" s="392" customFormat="1" x14ac:dyDescent="0.4">
      <c r="A60" s="401"/>
      <c r="B60" s="402"/>
      <c r="C60" s="403"/>
      <c r="D60" s="404"/>
      <c r="E60" s="403"/>
      <c r="F60" s="405"/>
      <c r="G60" s="401"/>
      <c r="H60" s="402"/>
      <c r="I60" s="403"/>
      <c r="J60" s="404"/>
      <c r="K60" s="403"/>
      <c r="L60" s="405"/>
      <c r="M60" s="401"/>
      <c r="N60" s="402"/>
      <c r="O60" s="403"/>
      <c r="P60" s="404"/>
      <c r="Q60" s="403"/>
      <c r="R60" s="405"/>
      <c r="S60" s="401"/>
      <c r="T60" s="402"/>
      <c r="U60" s="403"/>
      <c r="V60" s="404"/>
      <c r="W60" s="403"/>
      <c r="X60" s="405"/>
      <c r="AE60" s="61"/>
      <c r="AF60" s="61"/>
      <c r="AG60" s="61"/>
      <c r="AH60" s="61"/>
    </row>
    <row r="61" spans="1:34" s="392" customFormat="1" x14ac:dyDescent="0.4">
      <c r="A61" s="406"/>
      <c r="B61" s="407"/>
      <c r="C61" s="408"/>
      <c r="D61" s="409"/>
      <c r="E61" s="408"/>
      <c r="F61" s="410"/>
      <c r="G61" s="406"/>
      <c r="H61" s="407"/>
      <c r="I61" s="408"/>
      <c r="J61" s="409"/>
      <c r="K61" s="408"/>
      <c r="L61" s="410"/>
      <c r="M61" s="406"/>
      <c r="N61" s="407"/>
      <c r="O61" s="408"/>
      <c r="P61" s="409"/>
      <c r="Q61" s="408"/>
      <c r="R61" s="410"/>
      <c r="S61" s="406"/>
      <c r="T61" s="407"/>
      <c r="U61" s="408"/>
      <c r="V61" s="409"/>
      <c r="W61" s="408"/>
      <c r="X61" s="410"/>
      <c r="AE61" s="61"/>
      <c r="AF61" s="61"/>
      <c r="AG61" s="61"/>
      <c r="AH61" s="61"/>
    </row>
    <row r="62" spans="1:34" s="392" customFormat="1" ht="28.5" customHeight="1" x14ac:dyDescent="0.4">
      <c r="A62" s="411" t="s">
        <v>208</v>
      </c>
      <c r="B62" s="412"/>
      <c r="C62" s="408"/>
      <c r="D62" s="408"/>
      <c r="E62" s="408"/>
      <c r="F62" s="412"/>
      <c r="G62" s="412"/>
      <c r="H62" s="412"/>
      <c r="I62" s="408"/>
      <c r="J62" s="408"/>
      <c r="K62" s="408"/>
      <c r="L62" s="412"/>
      <c r="M62" s="412"/>
      <c r="N62" s="412"/>
      <c r="O62" s="61"/>
      <c r="P62" s="61"/>
      <c r="Q62" s="61"/>
      <c r="R62" s="61"/>
      <c r="S62" s="412"/>
      <c r="T62" s="412"/>
      <c r="U62" s="408"/>
      <c r="V62" s="408"/>
      <c r="W62" s="408"/>
      <c r="X62" s="61"/>
      <c r="AE62" s="61"/>
      <c r="AF62" s="61"/>
      <c r="AG62" s="61"/>
      <c r="AH62" s="61"/>
    </row>
    <row r="63" spans="1:34" s="392" customFormat="1" x14ac:dyDescent="0.4">
      <c r="A63" s="559" t="s">
        <v>29</v>
      </c>
      <c r="B63" s="560"/>
      <c r="C63" s="553" t="str">
        <f>U12組合せ!E36</f>
        <v>A1610</v>
      </c>
      <c r="D63" s="554"/>
      <c r="E63" s="554"/>
      <c r="F63" s="555"/>
      <c r="G63" s="559" t="s">
        <v>29</v>
      </c>
      <c r="H63" s="560"/>
      <c r="I63" s="553" t="str">
        <f>U12組合せ!G36</f>
        <v>B267</v>
      </c>
      <c r="J63" s="554"/>
      <c r="K63" s="554"/>
      <c r="L63" s="555"/>
      <c r="M63" s="559" t="s">
        <v>29</v>
      </c>
      <c r="N63" s="560"/>
      <c r="O63" s="553" t="str">
        <f>U12組合せ!I36</f>
        <v>C249</v>
      </c>
      <c r="P63" s="554"/>
      <c r="Q63" s="554"/>
      <c r="R63" s="555"/>
      <c r="S63" s="559" t="s">
        <v>29</v>
      </c>
      <c r="T63" s="560"/>
      <c r="U63" s="553" t="str">
        <f>U12組合せ!K36</f>
        <v>D267</v>
      </c>
      <c r="V63" s="554"/>
      <c r="W63" s="554"/>
      <c r="X63" s="555"/>
      <c r="AE63" s="61"/>
      <c r="AF63" s="61"/>
      <c r="AG63" s="61"/>
      <c r="AH63" s="61"/>
    </row>
    <row r="64" spans="1:34" s="392" customFormat="1" x14ac:dyDescent="0.4">
      <c r="A64" s="561" t="s">
        <v>30</v>
      </c>
      <c r="B64" s="562"/>
      <c r="C64" s="572" t="str">
        <f>IF(U12組合せ!E35="","未定",U12組合せ!E35)</f>
        <v>GP白沢 南 PM</v>
      </c>
      <c r="D64" s="573"/>
      <c r="E64" s="573"/>
      <c r="F64" s="574"/>
      <c r="G64" s="561" t="s">
        <v>30</v>
      </c>
      <c r="H64" s="562"/>
      <c r="I64" s="572" t="str">
        <f>IF(U12組合せ!G35="","未定",U12組合せ!G35)</f>
        <v>上三川小 AM</v>
      </c>
      <c r="J64" s="573"/>
      <c r="K64" s="573"/>
      <c r="L64" s="574"/>
      <c r="M64" s="561" t="s">
        <v>30</v>
      </c>
      <c r="N64" s="562"/>
      <c r="O64" s="572" t="str">
        <f>IF(U12組合せ!I35="","未定",U12組合せ!I35)</f>
        <v>GP白沢北 AM</v>
      </c>
      <c r="P64" s="573"/>
      <c r="Q64" s="573"/>
      <c r="R64" s="574"/>
      <c r="S64" s="561" t="s">
        <v>30</v>
      </c>
      <c r="T64" s="562"/>
      <c r="U64" s="572" t="str">
        <f>IF(U12組合せ!K35="","未定",U12組合せ!K35)</f>
        <v>石井 5 PM</v>
      </c>
      <c r="V64" s="573"/>
      <c r="W64" s="573"/>
      <c r="X64" s="574"/>
      <c r="Z64" s="392" t="str">
        <f>IF(COUNTIF(C64,"石井*AM*"),"AM",IF(COUNTIF(C64,"*PM*"),"PM","AMF"))</f>
        <v>PM</v>
      </c>
      <c r="AA64" s="392" t="str">
        <f>IF(COUNTIF(I64,"石井*AM*"),"AM",IF(COUNTIF(I64,"*PM*"),"PM","AMF"))</f>
        <v>AMF</v>
      </c>
      <c r="AB64" s="392" t="str">
        <f>IF(COUNTIF(O64,"*石井*AM*"),"AM",IF(COUNTIF(O64,"*PM*"),"PM","AMF"))</f>
        <v>AMF</v>
      </c>
      <c r="AC64" s="392" t="str">
        <f>IF(COUNTIF(U64,"石井*AM*"),"AM",IF(COUNTIF(U64,"*PM*"),"PM","AMF"))</f>
        <v>PM</v>
      </c>
      <c r="AE64" s="61"/>
      <c r="AF64" s="61"/>
      <c r="AG64" s="61"/>
      <c r="AH64" s="61"/>
    </row>
    <row r="65" spans="1:34" s="392" customFormat="1" x14ac:dyDescent="0.4">
      <c r="A65" s="561" t="s">
        <v>31</v>
      </c>
      <c r="B65" s="562"/>
      <c r="C65" s="566" t="str">
        <f>Ａブロック対戦表!T223</f>
        <v>富士見ＳＳＳ</v>
      </c>
      <c r="D65" s="567"/>
      <c r="E65" s="567"/>
      <c r="F65" s="568"/>
      <c r="G65" s="561" t="s">
        <v>31</v>
      </c>
      <c r="H65" s="562"/>
      <c r="I65" s="566" t="str">
        <f>Bブロック対戦表!T220</f>
        <v>上三川SC</v>
      </c>
      <c r="J65" s="567"/>
      <c r="K65" s="567"/>
      <c r="L65" s="568"/>
      <c r="M65" s="561" t="s">
        <v>31</v>
      </c>
      <c r="N65" s="562"/>
      <c r="O65" s="578" t="str">
        <f>'Cブロック対戦表 '!T226</f>
        <v>ともぞうSC　U11</v>
      </c>
      <c r="P65" s="579"/>
      <c r="Q65" s="579"/>
      <c r="R65" s="580"/>
      <c r="S65" s="561" t="s">
        <v>31</v>
      </c>
      <c r="T65" s="562"/>
      <c r="U65" s="566" t="str">
        <f>'Dブロック対戦表 '!T226</f>
        <v>宝木キッカーズ</v>
      </c>
      <c r="V65" s="567"/>
      <c r="W65" s="567"/>
      <c r="X65" s="568"/>
      <c r="Z65" s="393"/>
      <c r="AE65" s="61"/>
      <c r="AF65" s="61"/>
      <c r="AG65" s="61"/>
      <c r="AH65" s="61"/>
    </row>
    <row r="66" spans="1:34" s="392" customFormat="1" x14ac:dyDescent="0.4">
      <c r="A66" s="343" t="str">
        <f>IF($Z64="AM",$Y$6,IF($Z64="PM",$Y$9,IF($Z64="AMF",$Y$6,"")))</f>
        <v>④</v>
      </c>
      <c r="B66" s="344">
        <f>IF(Z64="AM",$AB$1,IF(Z64="PM",$AB$3,IF(Z64="AMF",$AB$5,"")))</f>
        <v>0.5625</v>
      </c>
      <c r="C66" s="361">
        <v>1</v>
      </c>
      <c r="D66" s="362" t="s">
        <v>35</v>
      </c>
      <c r="E66" s="363">
        <v>6</v>
      </c>
      <c r="F66" s="364" t="s">
        <v>612</v>
      </c>
      <c r="G66" s="343" t="str">
        <f>IF($AA64="AM",$Y$6,IF($AA64="PM",$Y$9,IF($AA64="AMF",$Y$6,"")))</f>
        <v>①</v>
      </c>
      <c r="H66" s="344">
        <f>IF(AA64="AM",$AB$1,IF(AA64="PM",$AB$3,IF(AA64="AMF",$AB$5,"")))</f>
        <v>0.375</v>
      </c>
      <c r="I66" s="361">
        <v>2</v>
      </c>
      <c r="J66" s="362" t="s">
        <v>35</v>
      </c>
      <c r="K66" s="363">
        <v>6</v>
      </c>
      <c r="L66" s="364" t="s">
        <v>267</v>
      </c>
      <c r="M66" s="343" t="str">
        <f>IF($AB64="AM",$Y$6,IF($AB64="PM",$Y$9,IF($AB64="AMF",$Y$6,"")))</f>
        <v>①</v>
      </c>
      <c r="N66" s="344">
        <f>IF(AB64="AM",$AB$1,IF(AB64="PM",$AB$3,IF(AB64="AMF",$AB$5,"")))</f>
        <v>0.375</v>
      </c>
      <c r="O66" s="365">
        <v>2</v>
      </c>
      <c r="P66" s="366" t="s">
        <v>35</v>
      </c>
      <c r="Q66" s="367">
        <v>4</v>
      </c>
      <c r="R66" s="368" t="s">
        <v>574</v>
      </c>
      <c r="S66" s="343" t="str">
        <f>IF($AC64="AM",$Y$6,IF($AC64="PM",$Y$9,IF($AC64="AMF",$Y$6,"")))</f>
        <v>④</v>
      </c>
      <c r="T66" s="344">
        <f>IF(AC64="AM",$AB$1,IF(AC64="PM",$AB$3,IF(AC64="AMF",$AB$5,"")))</f>
        <v>0.5625</v>
      </c>
      <c r="U66" s="361">
        <v>2</v>
      </c>
      <c r="V66" s="362" t="s">
        <v>35</v>
      </c>
      <c r="W66" s="363">
        <v>6</v>
      </c>
      <c r="X66" s="364" t="s">
        <v>267</v>
      </c>
      <c r="Z66" s="393"/>
      <c r="AE66" s="61"/>
      <c r="AF66" s="61"/>
      <c r="AG66" s="61"/>
      <c r="AH66" s="61"/>
    </row>
    <row r="67" spans="1:34" s="392" customFormat="1" x14ac:dyDescent="0.4">
      <c r="A67" s="349" t="str">
        <f>IF(A66="①","②",IF(A66="④","⑤",""))</f>
        <v>⑤</v>
      </c>
      <c r="B67" s="350">
        <f>B66+0.042</f>
        <v>0.60450000000000004</v>
      </c>
      <c r="C67" s="351">
        <v>10</v>
      </c>
      <c r="D67" s="352" t="s">
        <v>35</v>
      </c>
      <c r="E67" s="353">
        <v>6</v>
      </c>
      <c r="F67" s="428" t="s">
        <v>613</v>
      </c>
      <c r="G67" s="349" t="str">
        <f>IF(G66="①","②",IF(G66="④","⑤",""))</f>
        <v>②</v>
      </c>
      <c r="H67" s="350">
        <f>H66+0.042</f>
        <v>0.41699999999999998</v>
      </c>
      <c r="I67" s="351">
        <v>7</v>
      </c>
      <c r="J67" s="352" t="s">
        <v>35</v>
      </c>
      <c r="K67" s="353">
        <v>6</v>
      </c>
      <c r="L67" s="390" t="s">
        <v>268</v>
      </c>
      <c r="M67" s="349" t="str">
        <f>IF(M66="①","②",IF(M66="④","⑤",""))</f>
        <v>②</v>
      </c>
      <c r="N67" s="350">
        <f>N66+0.042</f>
        <v>0.41699999999999998</v>
      </c>
      <c r="O67" s="369">
        <v>9</v>
      </c>
      <c r="P67" s="370" t="s">
        <v>35</v>
      </c>
      <c r="Q67" s="371">
        <v>4</v>
      </c>
      <c r="R67" s="390" t="s">
        <v>575</v>
      </c>
      <c r="S67" s="349" t="str">
        <f>IF(S66="①","②",IF(S66="④","⑤",""))</f>
        <v>⑤</v>
      </c>
      <c r="T67" s="350">
        <f>T66+0.042</f>
        <v>0.60450000000000004</v>
      </c>
      <c r="U67" s="351">
        <v>7</v>
      </c>
      <c r="V67" s="352" t="s">
        <v>35</v>
      </c>
      <c r="W67" s="353">
        <v>6</v>
      </c>
      <c r="X67" s="390" t="s">
        <v>268</v>
      </c>
      <c r="AE67" s="61"/>
      <c r="AF67" s="61"/>
      <c r="AG67" s="61"/>
      <c r="AH67" s="61"/>
    </row>
    <row r="68" spans="1:34" s="392" customFormat="1" x14ac:dyDescent="0.4">
      <c r="A68" s="355" t="str">
        <f>IF(A67="②","③",IF(A67="⑤","⑥",""))</f>
        <v>⑥</v>
      </c>
      <c r="B68" s="356">
        <f>B67+0.042</f>
        <v>0.64650000000000007</v>
      </c>
      <c r="C68" s="357">
        <v>10</v>
      </c>
      <c r="D68" s="358" t="s">
        <v>35</v>
      </c>
      <c r="E68" s="359">
        <v>1</v>
      </c>
      <c r="F68" s="360" t="s">
        <v>614</v>
      </c>
      <c r="G68" s="355" t="str">
        <f>IF(G67="②","③",IF(G67="⑤","⑥",""))</f>
        <v>③</v>
      </c>
      <c r="H68" s="356">
        <f>H67+0.042</f>
        <v>0.45899999999999996</v>
      </c>
      <c r="I68" s="357">
        <v>7</v>
      </c>
      <c r="J68" s="358" t="s">
        <v>35</v>
      </c>
      <c r="K68" s="359">
        <v>2</v>
      </c>
      <c r="L68" s="360" t="s">
        <v>269</v>
      </c>
      <c r="M68" s="355" t="str">
        <f>IF(M67="②","③",IF(M67="⑤","⑥",""))</f>
        <v>③</v>
      </c>
      <c r="N68" s="356">
        <f>N67+0.042</f>
        <v>0.45899999999999996</v>
      </c>
      <c r="O68" s="372">
        <v>9</v>
      </c>
      <c r="P68" s="373" t="s">
        <v>35</v>
      </c>
      <c r="Q68" s="374">
        <v>2</v>
      </c>
      <c r="R68" s="375" t="s">
        <v>576</v>
      </c>
      <c r="S68" s="355" t="str">
        <f>IF(S67="②","③",IF(S67="⑤","⑥",""))</f>
        <v>⑥</v>
      </c>
      <c r="T68" s="356">
        <f>T67+0.042</f>
        <v>0.64650000000000007</v>
      </c>
      <c r="U68" s="357">
        <v>7</v>
      </c>
      <c r="V68" s="358" t="s">
        <v>35</v>
      </c>
      <c r="W68" s="359">
        <v>2</v>
      </c>
      <c r="X68" s="360" t="s">
        <v>269</v>
      </c>
      <c r="AE68" s="61"/>
      <c r="AF68" s="61"/>
      <c r="AG68" s="61"/>
      <c r="AH68" s="61"/>
    </row>
    <row r="69" spans="1:34" s="392" customFormat="1" ht="6.75" customHeight="1" x14ac:dyDescent="0.4">
      <c r="A69" s="413"/>
      <c r="B69" s="412"/>
      <c r="C69" s="408"/>
      <c r="D69" s="408"/>
      <c r="E69" s="408"/>
      <c r="F69" s="412"/>
      <c r="G69" s="412"/>
      <c r="H69" s="412"/>
      <c r="I69" s="408"/>
      <c r="J69" s="408"/>
      <c r="K69" s="408"/>
      <c r="L69" s="412"/>
      <c r="M69" s="412"/>
      <c r="N69" s="412"/>
      <c r="O69" s="61"/>
      <c r="P69" s="61"/>
      <c r="Q69" s="61"/>
      <c r="R69" s="61"/>
      <c r="S69" s="412"/>
      <c r="T69" s="412"/>
      <c r="U69" s="408"/>
      <c r="V69" s="408"/>
      <c r="W69" s="408"/>
      <c r="X69" s="414"/>
      <c r="AE69" s="61"/>
      <c r="AF69" s="61"/>
      <c r="AG69" s="61"/>
      <c r="AH69" s="61"/>
    </row>
    <row r="70" spans="1:34" s="392" customFormat="1" x14ac:dyDescent="0.4">
      <c r="A70" s="559" t="s">
        <v>29</v>
      </c>
      <c r="B70" s="560"/>
      <c r="C70" s="553" t="str">
        <f>U12組合せ!E38</f>
        <v>A478</v>
      </c>
      <c r="D70" s="554"/>
      <c r="E70" s="554"/>
      <c r="F70" s="555"/>
      <c r="G70" s="559" t="s">
        <v>29</v>
      </c>
      <c r="H70" s="560"/>
      <c r="I70" s="553" t="str">
        <f>U12組合せ!G38</f>
        <v>B348</v>
      </c>
      <c r="J70" s="554"/>
      <c r="K70" s="554"/>
      <c r="L70" s="555"/>
      <c r="M70" s="559" t="s">
        <v>29</v>
      </c>
      <c r="N70" s="560"/>
      <c r="O70" s="553" t="str">
        <f>U12組合せ!I38</f>
        <v>C357</v>
      </c>
      <c r="P70" s="554"/>
      <c r="Q70" s="554"/>
      <c r="R70" s="555"/>
      <c r="S70" s="559" t="s">
        <v>29</v>
      </c>
      <c r="T70" s="560"/>
      <c r="U70" s="553" t="str">
        <f>U12組合せ!K38</f>
        <v>D348</v>
      </c>
      <c r="V70" s="554"/>
      <c r="W70" s="554"/>
      <c r="X70" s="555"/>
      <c r="AE70" s="61"/>
      <c r="AF70" s="61"/>
      <c r="AG70" s="61"/>
      <c r="AH70" s="61"/>
    </row>
    <row r="71" spans="1:34" s="392" customFormat="1" x14ac:dyDescent="0.4">
      <c r="A71" s="561" t="s">
        <v>30</v>
      </c>
      <c r="B71" s="562"/>
      <c r="C71" s="572" t="str">
        <f>IF(U12組合せ!E37="","未定",U12組合せ!E37)</f>
        <v>石井 4 AM</v>
      </c>
      <c r="D71" s="573"/>
      <c r="E71" s="573"/>
      <c r="F71" s="574"/>
      <c r="G71" s="561" t="s">
        <v>30</v>
      </c>
      <c r="H71" s="562"/>
      <c r="I71" s="572" t="str">
        <f>IF(U12組合せ!G37="","未定",U12組合せ!G37)</f>
        <v>石井 5 AM</v>
      </c>
      <c r="J71" s="573"/>
      <c r="K71" s="573"/>
      <c r="L71" s="574"/>
      <c r="M71" s="561" t="s">
        <v>71</v>
      </c>
      <c r="N71" s="562"/>
      <c r="O71" s="572" t="str">
        <f>IF(U12組合せ!I37="","未定",U12組合せ!I37)</f>
        <v>豊郷中央小 AM</v>
      </c>
      <c r="P71" s="573"/>
      <c r="Q71" s="573"/>
      <c r="R71" s="574"/>
      <c r="S71" s="561" t="s">
        <v>71</v>
      </c>
      <c r="T71" s="562"/>
      <c r="U71" s="572" t="str">
        <f>IF(U12組合せ!K37="","未定",U12組合せ!K37)</f>
        <v>陽東小AM</v>
      </c>
      <c r="V71" s="573"/>
      <c r="W71" s="573"/>
      <c r="X71" s="574"/>
      <c r="Z71" s="392" t="str">
        <f>IF(COUNTIF(C71,"石井*AM*"),"AM",IF(COUNTIF(C71,"*PM*"),"PM","AMF"))</f>
        <v>AM</v>
      </c>
      <c r="AA71" s="392" t="str">
        <f>IF(COUNTIF(I71,"石井*AM*"),"AM",IF(COUNTIF(I71,"*PM*"),"PM","AMF"))</f>
        <v>AM</v>
      </c>
      <c r="AB71" s="392" t="str">
        <f>IF(COUNTIF(O71,"*石井*AM*"),"AM",IF(COUNTIF(O71,"*PM*"),"PM","AMF"))</f>
        <v>AMF</v>
      </c>
      <c r="AC71" s="392" t="str">
        <f>IF(COUNTIF(U71,"石井*AM*"),"AM",IF(COUNTIF(U71,"*PM*"),"PM","AMF"))</f>
        <v>AMF</v>
      </c>
      <c r="AE71" s="61"/>
      <c r="AF71" s="61"/>
      <c r="AG71" s="61"/>
      <c r="AH71" s="61"/>
    </row>
    <row r="72" spans="1:34" s="392" customFormat="1" x14ac:dyDescent="0.4">
      <c r="A72" s="561" t="s">
        <v>31</v>
      </c>
      <c r="B72" s="562"/>
      <c r="C72" s="566" t="str">
        <f>Ａブロック対戦表!T254</f>
        <v>上河内ＪＳＣ</v>
      </c>
      <c r="D72" s="567"/>
      <c r="E72" s="567"/>
      <c r="F72" s="568"/>
      <c r="G72" s="561" t="s">
        <v>31</v>
      </c>
      <c r="H72" s="562"/>
      <c r="I72" s="566" t="str">
        <f>Bブロック対戦表!T251</f>
        <v>昭和・戸祭SC</v>
      </c>
      <c r="J72" s="567"/>
      <c r="K72" s="567"/>
      <c r="L72" s="568"/>
      <c r="M72" s="561" t="s">
        <v>31</v>
      </c>
      <c r="N72" s="562"/>
      <c r="O72" s="578" t="str">
        <f>'Cブロック対戦表 '!T258</f>
        <v>豊郷JFC宇都宮U-12</v>
      </c>
      <c r="P72" s="579"/>
      <c r="Q72" s="579"/>
      <c r="R72" s="580"/>
      <c r="S72" s="561" t="s">
        <v>31</v>
      </c>
      <c r="T72" s="562"/>
      <c r="U72" s="566" t="str">
        <f>'Dブロック対戦表 '!T258</f>
        <v>陽東SSS</v>
      </c>
      <c r="V72" s="567"/>
      <c r="W72" s="567"/>
      <c r="X72" s="568"/>
      <c r="Z72" s="393"/>
      <c r="AE72" s="61"/>
      <c r="AF72" s="61"/>
      <c r="AG72" s="61"/>
      <c r="AH72" s="61"/>
    </row>
    <row r="73" spans="1:34" s="392" customFormat="1" x14ac:dyDescent="0.4">
      <c r="A73" s="343" t="str">
        <f>IF($Z71="AM",$Y$6,IF($Z71="PM",$Y$9,IF($Z71="AMF",$Y$6,"")))</f>
        <v>①</v>
      </c>
      <c r="B73" s="344">
        <f>IF(Z71="AM",$AB$1,IF(Z71="PM",$AB$3,IF(Z71="AMF",$AB$5,"")))</f>
        <v>0.375</v>
      </c>
      <c r="C73" s="361">
        <v>4</v>
      </c>
      <c r="D73" s="362" t="s">
        <v>35</v>
      </c>
      <c r="E73" s="363">
        <v>7</v>
      </c>
      <c r="F73" s="364" t="s">
        <v>577</v>
      </c>
      <c r="G73" s="343" t="str">
        <f>IF($AA71="AM",$Y$6,IF($AA71="PM",$Y$9,IF($AA71="AMF",$Y$6,"")))</f>
        <v>①</v>
      </c>
      <c r="H73" s="344">
        <f>IF(AA71="AM",$AB$1,IF(AA71="PM",$AB$3,IF(AA71="AMF",$AB$5,"")))</f>
        <v>0.375</v>
      </c>
      <c r="I73" s="361">
        <v>3</v>
      </c>
      <c r="J73" s="362" t="s">
        <v>35</v>
      </c>
      <c r="K73" s="363">
        <v>4</v>
      </c>
      <c r="L73" s="364" t="s">
        <v>580</v>
      </c>
      <c r="M73" s="343" t="str">
        <f>IF($AB71="AM",$Y$6,IF($AB71="PM",$Y$9,IF($AB71="AMF",$Y$6,"")))</f>
        <v>①</v>
      </c>
      <c r="N73" s="344">
        <f>IF(AB71="AM",$AB$1,IF(AB71="PM",$AB$3,IF(AB71="AMF",$AB$5,"")))</f>
        <v>0.375</v>
      </c>
      <c r="O73" s="365">
        <v>3</v>
      </c>
      <c r="P73" s="366" t="s">
        <v>35</v>
      </c>
      <c r="Q73" s="367">
        <v>5</v>
      </c>
      <c r="R73" s="368" t="s">
        <v>84</v>
      </c>
      <c r="S73" s="343" t="str">
        <f>IF($AC71="AM",$Y$6,IF($AC71="PM",$Y$9,IF($AC71="AMF",$Y$6,"")))</f>
        <v>①</v>
      </c>
      <c r="T73" s="344">
        <f>IF(AC71="AM",$AB$1,IF(AC71="PM",$AB$3,IF(AC71="AMF",$AB$5,"")))</f>
        <v>0.375</v>
      </c>
      <c r="U73" s="361">
        <v>3</v>
      </c>
      <c r="V73" s="362" t="s">
        <v>35</v>
      </c>
      <c r="W73" s="363">
        <v>4</v>
      </c>
      <c r="X73" s="364" t="s">
        <v>270</v>
      </c>
      <c r="Z73" s="393"/>
      <c r="AE73" s="61"/>
      <c r="AF73" s="61"/>
      <c r="AG73" s="61"/>
      <c r="AH73" s="61"/>
    </row>
    <row r="74" spans="1:34" s="392" customFormat="1" x14ac:dyDescent="0.4">
      <c r="A74" s="349" t="str">
        <f>IF(A73="①","②",IF(A73="④","⑤",""))</f>
        <v>②</v>
      </c>
      <c r="B74" s="350">
        <f>B73+0.042</f>
        <v>0.41699999999999998</v>
      </c>
      <c r="C74" s="351">
        <v>8</v>
      </c>
      <c r="D74" s="352" t="s">
        <v>35</v>
      </c>
      <c r="E74" s="353">
        <v>7</v>
      </c>
      <c r="F74" s="390" t="s">
        <v>578</v>
      </c>
      <c r="G74" s="349" t="str">
        <f>IF(G73="①","②",IF(G73="④","⑤",""))</f>
        <v>②</v>
      </c>
      <c r="H74" s="350">
        <f>H73+0.042</f>
        <v>0.41699999999999998</v>
      </c>
      <c r="I74" s="351">
        <v>8</v>
      </c>
      <c r="J74" s="352" t="s">
        <v>35</v>
      </c>
      <c r="K74" s="353">
        <v>4</v>
      </c>
      <c r="L74" s="390" t="s">
        <v>581</v>
      </c>
      <c r="M74" s="349" t="str">
        <f>IF(M73="①","②",IF(M73="④","⑤",""))</f>
        <v>②</v>
      </c>
      <c r="N74" s="350">
        <f>N73+0.042</f>
        <v>0.41699999999999998</v>
      </c>
      <c r="O74" s="369">
        <v>7</v>
      </c>
      <c r="P74" s="370" t="s">
        <v>35</v>
      </c>
      <c r="Q74" s="371">
        <v>5</v>
      </c>
      <c r="R74" s="390" t="s">
        <v>86</v>
      </c>
      <c r="S74" s="349" t="str">
        <f>IF(S73="①","②",IF(S73="④","⑤",""))</f>
        <v>②</v>
      </c>
      <c r="T74" s="350">
        <f>T73+0.042</f>
        <v>0.41699999999999998</v>
      </c>
      <c r="U74" s="351">
        <v>8</v>
      </c>
      <c r="V74" s="352" t="s">
        <v>35</v>
      </c>
      <c r="W74" s="353">
        <v>4</v>
      </c>
      <c r="X74" s="390" t="s">
        <v>271</v>
      </c>
      <c r="AE74" s="61"/>
      <c r="AF74" s="61"/>
      <c r="AG74" s="61"/>
      <c r="AH74" s="61"/>
    </row>
    <row r="75" spans="1:34" s="392" customFormat="1" x14ac:dyDescent="0.4">
      <c r="A75" s="355" t="str">
        <f>IF(A74="②","③",IF(A74="⑤","⑥",""))</f>
        <v>③</v>
      </c>
      <c r="B75" s="356">
        <f>B74+0.042</f>
        <v>0.45899999999999996</v>
      </c>
      <c r="C75" s="357">
        <v>8</v>
      </c>
      <c r="D75" s="358" t="s">
        <v>35</v>
      </c>
      <c r="E75" s="359">
        <v>4</v>
      </c>
      <c r="F75" s="360" t="s">
        <v>579</v>
      </c>
      <c r="G75" s="355" t="str">
        <f>IF(G74="②","③",IF(G74="⑤","⑥",""))</f>
        <v>③</v>
      </c>
      <c r="H75" s="356">
        <f>H74+0.042</f>
        <v>0.45899999999999996</v>
      </c>
      <c r="I75" s="357">
        <v>8</v>
      </c>
      <c r="J75" s="358" t="s">
        <v>35</v>
      </c>
      <c r="K75" s="359">
        <v>3</v>
      </c>
      <c r="L75" s="360" t="s">
        <v>582</v>
      </c>
      <c r="M75" s="355" t="str">
        <f>IF(M74="②","③",IF(M74="⑤","⑥",""))</f>
        <v>③</v>
      </c>
      <c r="N75" s="356">
        <f>N74+0.042</f>
        <v>0.45899999999999996</v>
      </c>
      <c r="O75" s="372">
        <v>7</v>
      </c>
      <c r="P75" s="373" t="s">
        <v>35</v>
      </c>
      <c r="Q75" s="374">
        <v>3</v>
      </c>
      <c r="R75" s="375" t="s">
        <v>85</v>
      </c>
      <c r="S75" s="355" t="str">
        <f>IF(S74="②","③",IF(S74="⑤","⑥",""))</f>
        <v>③</v>
      </c>
      <c r="T75" s="356">
        <f>T74+0.042</f>
        <v>0.45899999999999996</v>
      </c>
      <c r="U75" s="357">
        <v>8</v>
      </c>
      <c r="V75" s="358" t="s">
        <v>35</v>
      </c>
      <c r="W75" s="359">
        <v>3</v>
      </c>
      <c r="X75" s="360" t="s">
        <v>272</v>
      </c>
      <c r="AE75" s="61"/>
      <c r="AF75" s="61"/>
      <c r="AG75" s="61"/>
      <c r="AH75" s="61"/>
    </row>
    <row r="76" spans="1:34" ht="14.25" customHeight="1" x14ac:dyDescent="0.4">
      <c r="A76" s="62"/>
      <c r="B76" s="63"/>
      <c r="C76" s="31"/>
      <c r="D76" s="64"/>
      <c r="E76" s="31"/>
      <c r="F76" s="65"/>
      <c r="G76" s="62"/>
      <c r="H76" s="63"/>
      <c r="I76" s="31"/>
      <c r="J76" s="64"/>
      <c r="K76" s="31"/>
      <c r="L76" s="65"/>
      <c r="M76" s="62"/>
      <c r="N76" s="63"/>
      <c r="O76" s="31"/>
      <c r="P76" s="64"/>
      <c r="Q76" s="31"/>
      <c r="R76" s="65"/>
      <c r="S76" s="62"/>
      <c r="T76" s="63"/>
      <c r="U76" s="31"/>
      <c r="V76" s="64"/>
      <c r="W76" s="31"/>
      <c r="X76" s="65"/>
    </row>
    <row r="77" spans="1:34" ht="24" x14ac:dyDescent="0.4">
      <c r="A77" s="25" t="s">
        <v>73</v>
      </c>
      <c r="B77" s="25"/>
      <c r="C77" s="26"/>
      <c r="D77" s="26"/>
      <c r="E77" s="26"/>
      <c r="F77" s="27">
        <f>U12組合せ!B39</f>
        <v>44353</v>
      </c>
      <c r="G77" s="25"/>
      <c r="H77" s="27" t="str">
        <f>"("&amp;U12組合せ!C39&amp;")"</f>
        <v>(日)</v>
      </c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34" ht="3.75" customHeight="1" x14ac:dyDescent="0.4"/>
    <row r="79" spans="1:34" s="394" customFormat="1" x14ac:dyDescent="0.4">
      <c r="A79" s="559" t="s">
        <v>29</v>
      </c>
      <c r="B79" s="560"/>
      <c r="C79" s="553" t="str">
        <f>U12組合せ!E40</f>
        <v>A1579</v>
      </c>
      <c r="D79" s="554"/>
      <c r="E79" s="554"/>
      <c r="F79" s="555"/>
      <c r="G79" s="559" t="s">
        <v>29</v>
      </c>
      <c r="H79" s="560"/>
      <c r="I79" s="553" t="str">
        <f>U12組合せ!G40</f>
        <v>B168</v>
      </c>
      <c r="J79" s="554"/>
      <c r="K79" s="554"/>
      <c r="L79" s="555"/>
      <c r="M79" s="559" t="s">
        <v>29</v>
      </c>
      <c r="N79" s="560"/>
      <c r="O79" s="553" t="str">
        <f>U12組合せ!I40</f>
        <v>C147</v>
      </c>
      <c r="P79" s="554"/>
      <c r="Q79" s="554"/>
      <c r="R79" s="555"/>
      <c r="S79" s="559" t="s">
        <v>29</v>
      </c>
      <c r="T79" s="560"/>
      <c r="U79" s="553" t="str">
        <f>U12組合せ!K40</f>
        <v>D168</v>
      </c>
      <c r="V79" s="554"/>
      <c r="W79" s="554"/>
      <c r="X79" s="555"/>
      <c r="AE79" s="61"/>
      <c r="AF79" s="61"/>
      <c r="AG79" s="61"/>
      <c r="AH79" s="61"/>
    </row>
    <row r="80" spans="1:34" s="394" customFormat="1" x14ac:dyDescent="0.4">
      <c r="A80" s="561" t="s">
        <v>30</v>
      </c>
      <c r="B80" s="562"/>
      <c r="C80" s="572" t="str">
        <f>IF(U12組合せ!E39="","未定",U12組合せ!E39)</f>
        <v>本郷北小 AM</v>
      </c>
      <c r="D80" s="573"/>
      <c r="E80" s="573"/>
      <c r="F80" s="574"/>
      <c r="G80" s="561" t="s">
        <v>30</v>
      </c>
      <c r="H80" s="562"/>
      <c r="I80" s="572" t="str">
        <f>IF(U12組合せ!G39="","未定",U12組合せ!G39)</f>
        <v>平出南 AM</v>
      </c>
      <c r="J80" s="573"/>
      <c r="K80" s="573"/>
      <c r="L80" s="574"/>
      <c r="M80" s="561" t="s">
        <v>71</v>
      </c>
      <c r="N80" s="562"/>
      <c r="O80" s="572" t="str">
        <f>IF(U12組合せ!I39="","未定",U12組合せ!I39)</f>
        <v>平出北 PM</v>
      </c>
      <c r="P80" s="573"/>
      <c r="Q80" s="573"/>
      <c r="R80" s="574"/>
      <c r="S80" s="561" t="s">
        <v>71</v>
      </c>
      <c r="T80" s="562"/>
      <c r="U80" s="572" t="str">
        <f>IF(U12組合せ!K39="","未定",U12組合せ!K39)</f>
        <v>錦小 AM</v>
      </c>
      <c r="V80" s="573"/>
      <c r="W80" s="573"/>
      <c r="X80" s="574"/>
      <c r="Z80" s="394" t="str">
        <f>IF(COUNTIF(C80,"石井*AM*"),"AM",IF(COUNTIF(C80,"*PM*"),"PM","AMF"))</f>
        <v>AMF</v>
      </c>
      <c r="AA80" s="394" t="str">
        <f>IF(COUNTIF(I80,"石井*AM*"),"AM",IF(COUNTIF(I80,"*PM*"),"PM","AMF"))</f>
        <v>AMF</v>
      </c>
      <c r="AB80" s="394" t="str">
        <f>IF(COUNTIF(O80,"*石井*AM*"),"AM",IF(COUNTIF(O80,"*PM*"),"PM","AMF"))</f>
        <v>PM</v>
      </c>
      <c r="AC80" s="394" t="str">
        <f>IF(COUNTIF(U80,"石井*AM*"),"AM",IF(COUNTIF(U80,"*PM*"),"PM","AMF"))</f>
        <v>AMF</v>
      </c>
      <c r="AE80" s="61"/>
      <c r="AF80" s="61"/>
      <c r="AG80" s="61"/>
      <c r="AH80" s="61"/>
    </row>
    <row r="81" spans="1:34" s="394" customFormat="1" x14ac:dyDescent="0.4">
      <c r="A81" s="561" t="s">
        <v>31</v>
      </c>
      <c r="B81" s="562"/>
      <c r="C81" s="566" t="str">
        <f>Ａブロック対戦表!T285</f>
        <v>本郷北ＦＣ</v>
      </c>
      <c r="D81" s="567"/>
      <c r="E81" s="567"/>
      <c r="F81" s="568"/>
      <c r="G81" s="561" t="s">
        <v>31</v>
      </c>
      <c r="H81" s="562"/>
      <c r="I81" s="566" t="str">
        <f>Bブロック対戦表!T282</f>
        <v>FCグラシアス</v>
      </c>
      <c r="J81" s="567"/>
      <c r="K81" s="567"/>
      <c r="L81" s="568"/>
      <c r="M81" s="561" t="s">
        <v>31</v>
      </c>
      <c r="N81" s="562"/>
      <c r="O81" s="578" t="str">
        <f>'Cブロック対戦表 '!T290</f>
        <v>雀宮FC</v>
      </c>
      <c r="P81" s="579"/>
      <c r="Q81" s="579"/>
      <c r="R81" s="580"/>
      <c r="S81" s="561" t="s">
        <v>31</v>
      </c>
      <c r="T81" s="562"/>
      <c r="U81" s="566" t="str">
        <f>'Dブロック対戦表 '!T290</f>
        <v>FCブロケード</v>
      </c>
      <c r="V81" s="567"/>
      <c r="W81" s="567"/>
      <c r="X81" s="568"/>
      <c r="AE81" s="61"/>
      <c r="AF81" s="61"/>
      <c r="AG81" s="61"/>
      <c r="AH81" s="61"/>
    </row>
    <row r="82" spans="1:34" s="394" customFormat="1" x14ac:dyDescent="0.4">
      <c r="A82" s="343" t="str">
        <f>IF($Z80="AM",$Y6,IF($Z80="PM",$Y9,IF($Z80="AMF",$Y6,"")))</f>
        <v>①</v>
      </c>
      <c r="B82" s="344">
        <f>IF(Z80="AM",$AB$1,IF(Z80="PM",$AB$3,IF(Z80="AMF",$AB$5,"")))</f>
        <v>0.375</v>
      </c>
      <c r="C82" s="361">
        <v>1</v>
      </c>
      <c r="D82" s="362" t="s">
        <v>35</v>
      </c>
      <c r="E82" s="363">
        <v>7</v>
      </c>
      <c r="F82" s="364" t="s">
        <v>202</v>
      </c>
      <c r="G82" s="343" t="str">
        <f>IF($AA80="AM",$Y$6,IF($AA80="PM",$Y$9,IF($AA80="AMF",$Y$6,"")))</f>
        <v>①</v>
      </c>
      <c r="H82" s="344">
        <f>IF(AA80="AM",$AB$1,IF(AA80="PM",$AB$3,IF(AA80="AMF",$AB$5,"")))</f>
        <v>0.375</v>
      </c>
      <c r="I82" s="361">
        <v>1</v>
      </c>
      <c r="J82" s="362" t="s">
        <v>35</v>
      </c>
      <c r="K82" s="363">
        <v>6</v>
      </c>
      <c r="L82" s="364" t="s">
        <v>583</v>
      </c>
      <c r="M82" s="343" t="str">
        <f>IF($AB80="AM",$Y$6,IF($AB80="PM",$Y$9,IF($AB80="AMF",$Y$6,"")))</f>
        <v>④</v>
      </c>
      <c r="N82" s="344">
        <f>IF(AB80="AM",$AB$1,IF(AB80="PM",$AB$3,IF(AB80="AMF",$AB$5,"")))</f>
        <v>0.5625</v>
      </c>
      <c r="O82" s="365">
        <v>1</v>
      </c>
      <c r="P82" s="366" t="s">
        <v>35</v>
      </c>
      <c r="Q82" s="367">
        <v>4</v>
      </c>
      <c r="R82" s="368" t="s">
        <v>586</v>
      </c>
      <c r="S82" s="343" t="str">
        <f>IF($AC80="AM",$Y$6,IF($AC80="PM",$Y$9,IF($AC80="AMF",$Y$6,"")))</f>
        <v>①</v>
      </c>
      <c r="T82" s="344">
        <f>IF(AC80="AM",$AB$1,IF(AC80="PM",$AB$3,IF(AC80="AMF",$AB$5,"")))</f>
        <v>0.375</v>
      </c>
      <c r="U82" s="361">
        <v>1</v>
      </c>
      <c r="V82" s="362" t="s">
        <v>35</v>
      </c>
      <c r="W82" s="363">
        <v>6</v>
      </c>
      <c r="X82" s="364" t="s">
        <v>78</v>
      </c>
      <c r="AE82" s="61"/>
      <c r="AF82" s="61"/>
      <c r="AG82" s="61"/>
      <c r="AH82" s="61"/>
    </row>
    <row r="83" spans="1:34" s="394" customFormat="1" x14ac:dyDescent="0.4">
      <c r="A83" s="349" t="str">
        <f>IF(A82="①","②",IF(A82="④","⑤",""))</f>
        <v>②</v>
      </c>
      <c r="B83" s="350">
        <f>B82+0.042</f>
        <v>0.41699999999999998</v>
      </c>
      <c r="C83" s="351">
        <v>9</v>
      </c>
      <c r="D83" s="352" t="s">
        <v>35</v>
      </c>
      <c r="E83" s="353">
        <v>7</v>
      </c>
      <c r="F83" s="390" t="s">
        <v>203</v>
      </c>
      <c r="G83" s="349" t="str">
        <f>IF(G82="①","②",IF(G82="④","⑤",""))</f>
        <v>②</v>
      </c>
      <c r="H83" s="350">
        <f>H82+0.042</f>
        <v>0.41699999999999998</v>
      </c>
      <c r="I83" s="351">
        <v>8</v>
      </c>
      <c r="J83" s="352" t="s">
        <v>35</v>
      </c>
      <c r="K83" s="353">
        <v>6</v>
      </c>
      <c r="L83" s="390" t="s">
        <v>584</v>
      </c>
      <c r="M83" s="349" t="str">
        <f>IF(M82="①","②",IF(M82="④","⑤",""))</f>
        <v>⑤</v>
      </c>
      <c r="N83" s="350">
        <f>N82+0.042</f>
        <v>0.60450000000000004</v>
      </c>
      <c r="O83" s="369">
        <v>7</v>
      </c>
      <c r="P83" s="370" t="s">
        <v>35</v>
      </c>
      <c r="Q83" s="371">
        <v>4</v>
      </c>
      <c r="R83" s="390" t="s">
        <v>587</v>
      </c>
      <c r="S83" s="349" t="str">
        <f>IF(S82="①","②",IF(S82="④","⑤",""))</f>
        <v>②</v>
      </c>
      <c r="T83" s="350">
        <f>T82+0.042</f>
        <v>0.41699999999999998</v>
      </c>
      <c r="U83" s="351">
        <v>8</v>
      </c>
      <c r="V83" s="352" t="s">
        <v>35</v>
      </c>
      <c r="W83" s="353">
        <v>6</v>
      </c>
      <c r="X83" s="390" t="s">
        <v>79</v>
      </c>
      <c r="AE83" s="61"/>
      <c r="AF83" s="61"/>
      <c r="AG83" s="61"/>
      <c r="AH83" s="61"/>
    </row>
    <row r="84" spans="1:34" s="394" customFormat="1" ht="16.5" customHeight="1" x14ac:dyDescent="0.4">
      <c r="A84" s="355" t="str">
        <f>IF(A83="②","③",IF(A83="⑤","⑥",""))</f>
        <v>③</v>
      </c>
      <c r="B84" s="350">
        <f>B83+0.042</f>
        <v>0.45899999999999996</v>
      </c>
      <c r="C84" s="357">
        <v>1</v>
      </c>
      <c r="D84" s="358" t="s">
        <v>35</v>
      </c>
      <c r="E84" s="359">
        <v>5</v>
      </c>
      <c r="F84" s="360" t="s">
        <v>461</v>
      </c>
      <c r="G84" s="355" t="str">
        <f>IF(G83="②","③",IF(G83="⑤","⑥",""))</f>
        <v>③</v>
      </c>
      <c r="H84" s="356">
        <f>H83+0.042</f>
        <v>0.45899999999999996</v>
      </c>
      <c r="I84" s="357">
        <v>8</v>
      </c>
      <c r="J84" s="358" t="s">
        <v>35</v>
      </c>
      <c r="K84" s="359">
        <v>1</v>
      </c>
      <c r="L84" s="360" t="s">
        <v>585</v>
      </c>
      <c r="M84" s="355" t="str">
        <f>IF(M83="②","③",IF(M83="⑤","⑥",""))</f>
        <v>⑥</v>
      </c>
      <c r="N84" s="356">
        <f>N83+0.042</f>
        <v>0.64650000000000007</v>
      </c>
      <c r="O84" s="372">
        <v>7</v>
      </c>
      <c r="P84" s="373" t="s">
        <v>35</v>
      </c>
      <c r="Q84" s="374">
        <v>1</v>
      </c>
      <c r="R84" s="375" t="s">
        <v>588</v>
      </c>
      <c r="S84" s="355" t="str">
        <f>IF(S83="②","③",IF(S83="⑤","⑥",""))</f>
        <v>③</v>
      </c>
      <c r="T84" s="356">
        <f>T83+0.042</f>
        <v>0.45899999999999996</v>
      </c>
      <c r="U84" s="357">
        <v>8</v>
      </c>
      <c r="V84" s="358" t="s">
        <v>35</v>
      </c>
      <c r="W84" s="359">
        <v>1</v>
      </c>
      <c r="X84" s="360" t="s">
        <v>80</v>
      </c>
      <c r="AE84" s="61"/>
      <c r="AF84" s="61"/>
      <c r="AG84" s="61"/>
      <c r="AH84" s="61"/>
    </row>
    <row r="85" spans="1:34" s="394" customFormat="1" ht="33" customHeight="1" x14ac:dyDescent="0.4">
      <c r="A85" s="413"/>
      <c r="B85" s="412"/>
      <c r="C85" s="408"/>
      <c r="D85" s="408"/>
      <c r="E85" s="408"/>
      <c r="F85" s="412"/>
      <c r="G85" s="412"/>
      <c r="H85" s="412"/>
      <c r="I85" s="408"/>
      <c r="J85" s="408"/>
      <c r="K85" s="408"/>
      <c r="L85" s="412"/>
      <c r="M85" s="412"/>
      <c r="N85" s="412"/>
      <c r="O85" s="61"/>
      <c r="P85" s="61"/>
      <c r="Q85" s="61"/>
      <c r="R85" s="61"/>
      <c r="S85" s="412"/>
      <c r="T85" s="412"/>
      <c r="U85" s="408"/>
      <c r="V85" s="408"/>
      <c r="W85" s="408"/>
      <c r="X85" s="414"/>
      <c r="AE85" s="61"/>
      <c r="AF85" s="61"/>
      <c r="AG85" s="61"/>
      <c r="AH85" s="61"/>
    </row>
    <row r="86" spans="1:34" s="394" customFormat="1" ht="16.5" customHeight="1" x14ac:dyDescent="0.4">
      <c r="A86" s="559" t="s">
        <v>29</v>
      </c>
      <c r="B86" s="560"/>
      <c r="C86" s="553" t="str">
        <f>U12組合せ!E42</f>
        <v>A368</v>
      </c>
      <c r="D86" s="554"/>
      <c r="E86" s="554"/>
      <c r="F86" s="555"/>
      <c r="G86" s="559" t="s">
        <v>29</v>
      </c>
      <c r="H86" s="560"/>
      <c r="I86" s="553" t="str">
        <f>U12組合せ!G42</f>
        <v>B249</v>
      </c>
      <c r="J86" s="554"/>
      <c r="K86" s="554"/>
      <c r="L86" s="555"/>
      <c r="M86" s="559" t="s">
        <v>29</v>
      </c>
      <c r="N86" s="560"/>
      <c r="O86" s="553" t="str">
        <f>U12組合せ!I42</f>
        <v>C258</v>
      </c>
      <c r="P86" s="554"/>
      <c r="Q86" s="554"/>
      <c r="R86" s="555"/>
      <c r="S86" s="559" t="s">
        <v>29</v>
      </c>
      <c r="T86" s="560"/>
      <c r="U86" s="553" t="str">
        <f>U12組合せ!K42</f>
        <v>D249</v>
      </c>
      <c r="V86" s="554"/>
      <c r="W86" s="554"/>
      <c r="X86" s="555"/>
      <c r="AE86" s="61"/>
      <c r="AF86" s="61"/>
      <c r="AG86" s="61"/>
      <c r="AH86" s="61"/>
    </row>
    <row r="87" spans="1:34" s="394" customFormat="1" ht="16.5" customHeight="1" x14ac:dyDescent="0.4">
      <c r="A87" s="561" t="s">
        <v>30</v>
      </c>
      <c r="B87" s="562"/>
      <c r="C87" s="572" t="str">
        <f>IF(U12組合せ!E41="","未定",U12組合せ!E41)</f>
        <v>GP白沢 北 PM</v>
      </c>
      <c r="D87" s="573"/>
      <c r="E87" s="573"/>
      <c r="F87" s="574"/>
      <c r="G87" s="561" t="s">
        <v>30</v>
      </c>
      <c r="H87" s="562"/>
      <c r="I87" s="572" t="str">
        <f>IF(U12組合せ!G41="","未定",U12組合せ!G41)</f>
        <v>雀宮南小 AM</v>
      </c>
      <c r="J87" s="573"/>
      <c r="K87" s="573"/>
      <c r="L87" s="574"/>
      <c r="M87" s="561" t="s">
        <v>30</v>
      </c>
      <c r="N87" s="562"/>
      <c r="O87" s="572" t="str">
        <f>IF(U12組合せ!I41="","未定",U12組合せ!I41)</f>
        <v>GP白沢 北 AM</v>
      </c>
      <c r="P87" s="573"/>
      <c r="Q87" s="573"/>
      <c r="R87" s="574"/>
      <c r="S87" s="561" t="s">
        <v>30</v>
      </c>
      <c r="T87" s="562"/>
      <c r="U87" s="572" t="str">
        <f>IF(U12組合せ!K41="","未定",U12組合せ!K41)</f>
        <v>平出南　PM</v>
      </c>
      <c r="V87" s="573"/>
      <c r="W87" s="573"/>
      <c r="X87" s="574"/>
      <c r="Z87" s="394" t="str">
        <f>IF(COUNTIF(C87,"石井*AM*"),"AM",IF(COUNTIF(C87,"*PM*"),"PM","AMF"))</f>
        <v>PM</v>
      </c>
      <c r="AA87" s="394" t="str">
        <f>IF(COUNTIF(I87,"石井*AM*"),"AM",IF(COUNTIF(I87,"*PM*"),"PM","AMF"))</f>
        <v>AMF</v>
      </c>
      <c r="AB87" s="394" t="str">
        <f>IF(COUNTIF(O87,"*石井*AM*"),"AM",IF(COUNTIF(O87,"*PM*"),"PM","AMF"))</f>
        <v>AMF</v>
      </c>
      <c r="AC87" s="394" t="str">
        <f>IF(COUNTIF(U87,"石井*AM*"),"AM",IF(COUNTIF(U87,"*PM*"),"PM","AMF"))</f>
        <v>PM</v>
      </c>
      <c r="AE87" s="61"/>
      <c r="AF87" s="61"/>
      <c r="AG87" s="61"/>
      <c r="AH87" s="61"/>
    </row>
    <row r="88" spans="1:34" s="394" customFormat="1" x14ac:dyDescent="0.4">
      <c r="A88" s="561" t="s">
        <v>31</v>
      </c>
      <c r="B88" s="562"/>
      <c r="C88" s="566" t="str">
        <f>Ａブロック対戦表!T316</f>
        <v>国本ＪＳＣ</v>
      </c>
      <c r="D88" s="567"/>
      <c r="E88" s="567"/>
      <c r="F88" s="568"/>
      <c r="G88" s="561" t="s">
        <v>31</v>
      </c>
      <c r="H88" s="562"/>
      <c r="I88" s="566" t="str">
        <f>Bブロック対戦表!T312</f>
        <v>サウス宇都宮SC</v>
      </c>
      <c r="J88" s="567"/>
      <c r="K88" s="567"/>
      <c r="L88" s="568"/>
      <c r="M88" s="561" t="s">
        <v>31</v>
      </c>
      <c r="N88" s="562"/>
      <c r="O88" s="578" t="str">
        <f>'Cブロック対戦表 '!T322</f>
        <v>カテット白沢SS</v>
      </c>
      <c r="P88" s="579"/>
      <c r="Q88" s="579"/>
      <c r="R88" s="580"/>
      <c r="S88" s="561" t="s">
        <v>31</v>
      </c>
      <c r="T88" s="562"/>
      <c r="U88" s="566" t="str">
        <f>'Dブロック対戦表 '!T322</f>
        <v>FCみらいV</v>
      </c>
      <c r="V88" s="567"/>
      <c r="W88" s="567"/>
      <c r="X88" s="568"/>
      <c r="Z88" s="395"/>
      <c r="AE88" s="61"/>
      <c r="AF88" s="61"/>
      <c r="AG88" s="61"/>
      <c r="AH88" s="61"/>
    </row>
    <row r="89" spans="1:34" s="394" customFormat="1" x14ac:dyDescent="0.4">
      <c r="A89" s="343" t="str">
        <f>IF($Z87="AM",$Y$6,IF($Z87="PM",$Y$9,IF($Z87="AMF",$Y$6,"")))</f>
        <v>④</v>
      </c>
      <c r="B89" s="344">
        <f>IF(Z87="AM",$AB$1,IF(Z87="PM",$AB$3,IF(Z87="AMF",$AB$5,"")))</f>
        <v>0.5625</v>
      </c>
      <c r="C89" s="361">
        <v>3</v>
      </c>
      <c r="D89" s="362" t="s">
        <v>35</v>
      </c>
      <c r="E89" s="363">
        <v>6</v>
      </c>
      <c r="F89" s="364" t="s">
        <v>589</v>
      </c>
      <c r="G89" s="343" t="str">
        <f>IF($AA87="AM",$Y$6,IF($AA87="PM",$Y$9,IF($AA87="AMF",$Y$6,"")))</f>
        <v>①</v>
      </c>
      <c r="H89" s="344">
        <f>IF(AA87="AM",$AB$1,IF(AA87="PM",$AB$3,IF(AA87="AMF",$AB$5,"")))</f>
        <v>0.375</v>
      </c>
      <c r="I89" s="361">
        <v>2</v>
      </c>
      <c r="J89" s="362" t="s">
        <v>35</v>
      </c>
      <c r="K89" s="363">
        <v>4</v>
      </c>
      <c r="L89" s="364" t="s">
        <v>81</v>
      </c>
      <c r="M89" s="343" t="str">
        <f>IF($AB87="AM",$Y$6,IF($AB87="PM",$Y$9,IF($AB87="AMF",$Y$6,"")))</f>
        <v>①</v>
      </c>
      <c r="N89" s="344">
        <f>IF(AB87="AM",$AB$1,IF(AB87="PM",$AB$3,IF(AB87="AMF",$AB$5,"")))</f>
        <v>0.375</v>
      </c>
      <c r="O89" s="365">
        <v>2</v>
      </c>
      <c r="P89" s="366" t="s">
        <v>35</v>
      </c>
      <c r="Q89" s="367">
        <v>5</v>
      </c>
      <c r="R89" s="368" t="s">
        <v>592</v>
      </c>
      <c r="S89" s="343" t="str">
        <f>IF($AC87="AM",$Y$6,IF($AC87="PM",$Y$9,IF($AC87="AMF",$Y$6,"")))</f>
        <v>④</v>
      </c>
      <c r="T89" s="344">
        <f>IF(AC87="AM",$AB$1,IF(AC87="PM",$AB$3,IF(AC87="AMF",$AB$5,"")))</f>
        <v>0.5625</v>
      </c>
      <c r="U89" s="361">
        <v>2</v>
      </c>
      <c r="V89" s="362" t="s">
        <v>35</v>
      </c>
      <c r="W89" s="363">
        <v>4</v>
      </c>
      <c r="X89" s="364" t="s">
        <v>594</v>
      </c>
      <c r="Z89" s="395"/>
      <c r="AE89" s="61"/>
      <c r="AF89" s="61"/>
      <c r="AG89" s="61"/>
      <c r="AH89" s="61"/>
    </row>
    <row r="90" spans="1:34" s="394" customFormat="1" x14ac:dyDescent="0.4">
      <c r="A90" s="349" t="str">
        <f>IF(A89="①","②",IF(A89="④","⑤",""))</f>
        <v>⑤</v>
      </c>
      <c r="B90" s="350">
        <f>B89+0.042</f>
        <v>0.60450000000000004</v>
      </c>
      <c r="C90" s="351">
        <v>3</v>
      </c>
      <c r="D90" s="352" t="s">
        <v>35</v>
      </c>
      <c r="E90" s="353">
        <v>8</v>
      </c>
      <c r="F90" s="390" t="s">
        <v>590</v>
      </c>
      <c r="G90" s="349" t="str">
        <f>IF(G89="①","②",IF(G89="④","⑤",""))</f>
        <v>②</v>
      </c>
      <c r="H90" s="350">
        <f>H89+0.042</f>
        <v>0.41699999999999998</v>
      </c>
      <c r="I90" s="351">
        <v>9</v>
      </c>
      <c r="J90" s="352" t="s">
        <v>35</v>
      </c>
      <c r="K90" s="353">
        <v>4</v>
      </c>
      <c r="L90" s="390" t="s">
        <v>82</v>
      </c>
      <c r="M90" s="349" t="str">
        <f>IF(M89="①","②",IF(M89="④","⑤",""))</f>
        <v>②</v>
      </c>
      <c r="N90" s="350">
        <f>N89+0.042</f>
        <v>0.41699999999999998</v>
      </c>
      <c r="O90" s="369">
        <v>8</v>
      </c>
      <c r="P90" s="370" t="s">
        <v>35</v>
      </c>
      <c r="Q90" s="371">
        <v>2</v>
      </c>
      <c r="R90" s="390" t="s">
        <v>593</v>
      </c>
      <c r="S90" s="349" t="str">
        <f>IF(S89="①","②",IF(S89="④","⑤",""))</f>
        <v>⑤</v>
      </c>
      <c r="T90" s="350">
        <f>T89+0.042</f>
        <v>0.60450000000000004</v>
      </c>
      <c r="U90" s="351">
        <v>9</v>
      </c>
      <c r="V90" s="352" t="s">
        <v>35</v>
      </c>
      <c r="W90" s="353">
        <v>4</v>
      </c>
      <c r="X90" s="390" t="s">
        <v>595</v>
      </c>
      <c r="AE90" s="61"/>
      <c r="AF90" s="61"/>
      <c r="AG90" s="61"/>
      <c r="AH90" s="61"/>
    </row>
    <row r="91" spans="1:34" s="394" customFormat="1" x14ac:dyDescent="0.4">
      <c r="A91" s="355" t="str">
        <f>IF(A90="②","③",IF(A90="⑤","⑥",""))</f>
        <v>⑥</v>
      </c>
      <c r="B91" s="356">
        <f>B90+0.042</f>
        <v>0.64650000000000007</v>
      </c>
      <c r="C91" s="357">
        <v>6</v>
      </c>
      <c r="D91" s="358" t="s">
        <v>35</v>
      </c>
      <c r="E91" s="359">
        <v>8</v>
      </c>
      <c r="F91" s="360" t="s">
        <v>591</v>
      </c>
      <c r="G91" s="355" t="str">
        <f>IF(G90="②","③",IF(G90="⑤","⑥",""))</f>
        <v>③</v>
      </c>
      <c r="H91" s="356">
        <f>H90+0.042</f>
        <v>0.45899999999999996</v>
      </c>
      <c r="I91" s="357">
        <v>9</v>
      </c>
      <c r="J91" s="358" t="s">
        <v>35</v>
      </c>
      <c r="K91" s="359">
        <v>2</v>
      </c>
      <c r="L91" s="360" t="s">
        <v>83</v>
      </c>
      <c r="M91" s="355" t="str">
        <f>IF(M90="②","③",IF(M90="⑤","⑥",""))</f>
        <v>③</v>
      </c>
      <c r="N91" s="356">
        <f>N90+0.042</f>
        <v>0.45899999999999996</v>
      </c>
      <c r="O91" s="372"/>
      <c r="P91" s="373"/>
      <c r="Q91" s="374"/>
      <c r="R91" s="375"/>
      <c r="S91" s="355" t="str">
        <f>IF(S90="②","③",IF(S90="⑤","⑥",""))</f>
        <v>⑥</v>
      </c>
      <c r="T91" s="356">
        <f>T90+0.042</f>
        <v>0.64650000000000007</v>
      </c>
      <c r="U91" s="357">
        <v>9</v>
      </c>
      <c r="V91" s="358" t="s">
        <v>35</v>
      </c>
      <c r="W91" s="359">
        <v>2</v>
      </c>
      <c r="X91" s="360" t="s">
        <v>596</v>
      </c>
      <c r="AE91" s="61"/>
      <c r="AF91" s="61"/>
      <c r="AG91" s="61"/>
      <c r="AH91" s="61"/>
    </row>
    <row r="92" spans="1:34" s="394" customFormat="1" ht="5.25" customHeight="1" x14ac:dyDescent="0.4">
      <c r="A92" s="413"/>
      <c r="B92" s="412"/>
      <c r="C92" s="408"/>
      <c r="D92" s="408"/>
      <c r="E92" s="408"/>
      <c r="F92" s="412"/>
      <c r="G92" s="412"/>
      <c r="H92" s="412"/>
      <c r="I92" s="408"/>
      <c r="J92" s="408"/>
      <c r="K92" s="408"/>
      <c r="L92" s="412"/>
      <c r="M92" s="412"/>
      <c r="N92" s="412"/>
      <c r="O92" s="415"/>
      <c r="P92" s="61"/>
      <c r="Q92" s="415"/>
      <c r="R92" s="61"/>
      <c r="S92" s="412"/>
      <c r="T92" s="412"/>
      <c r="U92" s="408"/>
      <c r="V92" s="408"/>
      <c r="W92" s="408"/>
      <c r="X92" s="414"/>
      <c r="AE92" s="61"/>
      <c r="AF92" s="61"/>
      <c r="AG92" s="61"/>
      <c r="AH92" s="61"/>
    </row>
    <row r="93" spans="1:34" s="394" customFormat="1" x14ac:dyDescent="0.4">
      <c r="A93" s="559" t="s">
        <v>29</v>
      </c>
      <c r="B93" s="560"/>
      <c r="C93" s="553" t="str">
        <f>U12組合せ!E44</f>
        <v>A2410</v>
      </c>
      <c r="D93" s="554"/>
      <c r="E93" s="554"/>
      <c r="F93" s="555"/>
      <c r="G93" s="559" t="s">
        <v>29</v>
      </c>
      <c r="H93" s="560"/>
      <c r="I93" s="553" t="str">
        <f>U12組合せ!G44</f>
        <v>B357</v>
      </c>
      <c r="J93" s="554"/>
      <c r="K93" s="554"/>
      <c r="L93" s="555"/>
      <c r="M93" s="559" t="s">
        <v>29</v>
      </c>
      <c r="N93" s="560"/>
      <c r="O93" s="553" t="str">
        <f>U12組合せ!I44</f>
        <v>C3689</v>
      </c>
      <c r="P93" s="554"/>
      <c r="Q93" s="554"/>
      <c r="R93" s="555"/>
      <c r="S93" s="559" t="s">
        <v>29</v>
      </c>
      <c r="T93" s="560"/>
      <c r="U93" s="553" t="str">
        <f>U12組合せ!K44</f>
        <v>D357</v>
      </c>
      <c r="V93" s="554"/>
      <c r="W93" s="554"/>
      <c r="X93" s="555"/>
      <c r="AE93" s="61"/>
      <c r="AF93" s="61"/>
      <c r="AG93" s="61"/>
      <c r="AH93" s="61"/>
    </row>
    <row r="94" spans="1:34" s="394" customFormat="1" x14ac:dyDescent="0.4">
      <c r="A94" s="561" t="s">
        <v>30</v>
      </c>
      <c r="B94" s="562"/>
      <c r="C94" s="572" t="str">
        <f>IF(U12組合せ!E43="","未定",U12組合せ!E43)</f>
        <v>平出 北 AM</v>
      </c>
      <c r="D94" s="573"/>
      <c r="E94" s="573"/>
      <c r="F94" s="574"/>
      <c r="G94" s="561" t="s">
        <v>30</v>
      </c>
      <c r="H94" s="562"/>
      <c r="I94" s="572" t="str">
        <f>IF(U12組合せ!G43="","未定",U12組合せ!G43)</f>
        <v>陽南小　AM</v>
      </c>
      <c r="J94" s="573"/>
      <c r="K94" s="573"/>
      <c r="L94" s="574"/>
      <c r="M94" s="561" t="s">
        <v>457</v>
      </c>
      <c r="N94" s="562"/>
      <c r="O94" s="572" t="str">
        <f>IF(U12組合せ!I43="","未定",U12組合せ!I43)</f>
        <v>GP白沢 南 AM</v>
      </c>
      <c r="P94" s="573"/>
      <c r="Q94" s="573"/>
      <c r="R94" s="574"/>
      <c r="S94" s="561" t="s">
        <v>457</v>
      </c>
      <c r="T94" s="562"/>
      <c r="U94" s="572" t="str">
        <f>IF(U12組合せ!K43="","未定",U12組合せ!K43)</f>
        <v>GP白沢 南 PM</v>
      </c>
      <c r="V94" s="573"/>
      <c r="W94" s="573"/>
      <c r="X94" s="574"/>
      <c r="Z94" s="394" t="str">
        <f>IF(COUNTIF(C94,"石井*AM*"),"AM",IF(COUNTIF(C94,"*PM*"),"PM","AMF"))</f>
        <v>AMF</v>
      </c>
      <c r="AA94" s="394" t="str">
        <f>IF(COUNTIF(I94,"石井*AM*"),"AM",IF(COUNTIF(I94,"*PM*"),"PM","AMF"))</f>
        <v>AMF</v>
      </c>
      <c r="AB94" s="394" t="str">
        <f>IF(COUNTIF(O94,"*石井*AM*"),"AM",IF(COUNTIF(O94,"*PM*"),"PM","AMF"))</f>
        <v>AMF</v>
      </c>
      <c r="AC94" s="394" t="str">
        <f>IF(COUNTIF(U94,"石井*AM*"),"AM",IF(COUNTIF(U94,"*PM*"),"PM","AMF"))</f>
        <v>PM</v>
      </c>
      <c r="AE94" s="61"/>
      <c r="AF94" s="61"/>
      <c r="AG94" s="61"/>
      <c r="AH94" s="61"/>
    </row>
    <row r="95" spans="1:34" s="394" customFormat="1" x14ac:dyDescent="0.4">
      <c r="A95" s="561" t="s">
        <v>31</v>
      </c>
      <c r="B95" s="562"/>
      <c r="C95" s="566" t="str">
        <f>Ａブロック対戦表!T347</f>
        <v>石井ＦＣ</v>
      </c>
      <c r="D95" s="567"/>
      <c r="E95" s="567"/>
      <c r="F95" s="568"/>
      <c r="G95" s="561" t="s">
        <v>31</v>
      </c>
      <c r="H95" s="562"/>
      <c r="I95" s="566" t="str">
        <f>Bブロック対戦表!T343</f>
        <v>緑ヶ丘ＹＦＣ</v>
      </c>
      <c r="J95" s="567"/>
      <c r="K95" s="567"/>
      <c r="L95" s="568"/>
      <c r="M95" s="561" t="s">
        <v>31</v>
      </c>
      <c r="N95" s="562"/>
      <c r="O95" s="578" t="str">
        <f>'Cブロック対戦表 '!T354</f>
        <v>みはらSC jr</v>
      </c>
      <c r="P95" s="579"/>
      <c r="Q95" s="579"/>
      <c r="R95" s="580"/>
      <c r="S95" s="561" t="s">
        <v>31</v>
      </c>
      <c r="T95" s="562"/>
      <c r="U95" s="566" t="str">
        <f>'Dブロック対戦表 '!T354</f>
        <v>宇大付属小SSS U11</v>
      </c>
      <c r="V95" s="567"/>
      <c r="W95" s="567"/>
      <c r="X95" s="568"/>
      <c r="Z95" s="395"/>
      <c r="AE95" s="61"/>
      <c r="AF95" s="61"/>
      <c r="AG95" s="61"/>
      <c r="AH95" s="61"/>
    </row>
    <row r="96" spans="1:34" s="394" customFormat="1" x14ac:dyDescent="0.4">
      <c r="A96" s="343" t="str">
        <f>IF($Z94="AM",$Y$6,IF($Z94="PM",$Y$9,IF($Z94="AMF",$Y$6,"")))</f>
        <v>①</v>
      </c>
      <c r="B96" s="344">
        <f>IF(Z94="AM",$AB$1,IF(Z94="PM",$AB$3,IF(Z94="AMF",$AB$5,"")))</f>
        <v>0.375</v>
      </c>
      <c r="C96" s="361">
        <v>2</v>
      </c>
      <c r="D96" s="362" t="s">
        <v>35</v>
      </c>
      <c r="E96" s="363">
        <v>10</v>
      </c>
      <c r="F96" s="364" t="s">
        <v>597</v>
      </c>
      <c r="G96" s="343" t="str">
        <f>IF($AA94="AM",$Y$6,IF($AA94="PM",$Y$9,IF($AA94="AMF",$Y$6,"")))</f>
        <v>①</v>
      </c>
      <c r="H96" s="344">
        <f>IF(AA94="AM",$AB$1,IF(AA94="PM",$AB$3,IF(AA94="AMF",$AB$5,"")))</f>
        <v>0.375</v>
      </c>
      <c r="I96" s="361">
        <v>3</v>
      </c>
      <c r="J96" s="362" t="s">
        <v>35</v>
      </c>
      <c r="K96" s="363">
        <v>5</v>
      </c>
      <c r="L96" s="364" t="s">
        <v>84</v>
      </c>
      <c r="M96" s="343" t="str">
        <f>IF($AB94="AM",$Y$6,IF($AB94="PM",$Y$9,IF($AB94="AMF",$Y$6,"")))</f>
        <v>①</v>
      </c>
      <c r="N96" s="344">
        <f>IF(AB94="AM",$AB$1,IF(AB94="PM",$AB$3,IF(AB94="AMF",$AB$5,"")))</f>
        <v>0.375</v>
      </c>
      <c r="O96" s="365">
        <v>3</v>
      </c>
      <c r="P96" s="366" t="s">
        <v>35</v>
      </c>
      <c r="Q96" s="367">
        <v>6</v>
      </c>
      <c r="R96" s="368" t="s">
        <v>599</v>
      </c>
      <c r="S96" s="343" t="str">
        <f>IF($AC94="AM",$Y$6,IF($AC94="PM",$Y$9,IF($AC94="AMF",$Y$6,"")))</f>
        <v>④</v>
      </c>
      <c r="T96" s="344">
        <f>IF(AC94="AM",$AB$1,IF(AC94="PM",$AB$3,IF(AC94="AMF",$AB$5,"")))</f>
        <v>0.5625</v>
      </c>
      <c r="U96" s="361">
        <v>3</v>
      </c>
      <c r="V96" s="362" t="s">
        <v>35</v>
      </c>
      <c r="W96" s="363">
        <v>5</v>
      </c>
      <c r="X96" s="364" t="s">
        <v>602</v>
      </c>
      <c r="Z96" s="395"/>
      <c r="AE96" s="61"/>
      <c r="AF96" s="61"/>
      <c r="AG96" s="61"/>
      <c r="AH96" s="61"/>
    </row>
    <row r="97" spans="1:34" s="394" customFormat="1" x14ac:dyDescent="0.4">
      <c r="A97" s="349" t="str">
        <f>IF(A96="①","②",IF(A96="④","⑤",""))</f>
        <v>②</v>
      </c>
      <c r="B97" s="350">
        <f>B96+0.042</f>
        <v>0.41699999999999998</v>
      </c>
      <c r="C97" s="351">
        <v>4</v>
      </c>
      <c r="D97" s="352" t="s">
        <v>35</v>
      </c>
      <c r="E97" s="353">
        <v>10</v>
      </c>
      <c r="F97" s="390" t="s">
        <v>598</v>
      </c>
      <c r="G97" s="349" t="str">
        <f>IF(G96="①","②",IF(G96="④","⑤",""))</f>
        <v>②</v>
      </c>
      <c r="H97" s="350">
        <f>H96+0.042</f>
        <v>0.41699999999999998</v>
      </c>
      <c r="I97" s="351">
        <v>7</v>
      </c>
      <c r="J97" s="352" t="s">
        <v>35</v>
      </c>
      <c r="K97" s="353">
        <v>5</v>
      </c>
      <c r="L97" s="390" t="s">
        <v>86</v>
      </c>
      <c r="M97" s="349" t="str">
        <f>IF(M96="①","②",IF(M96="④","⑤",""))</f>
        <v>②</v>
      </c>
      <c r="N97" s="350">
        <f>N96+0.042</f>
        <v>0.41699999999999998</v>
      </c>
      <c r="O97" s="369">
        <v>9</v>
      </c>
      <c r="P97" s="370" t="s">
        <v>35</v>
      </c>
      <c r="Q97" s="371">
        <v>3</v>
      </c>
      <c r="R97" s="390" t="s">
        <v>600</v>
      </c>
      <c r="S97" s="349" t="str">
        <f>IF(S96="①","②",IF(S96="④","⑤",""))</f>
        <v>⑤</v>
      </c>
      <c r="T97" s="350">
        <f>T96+0.042</f>
        <v>0.60450000000000004</v>
      </c>
      <c r="U97" s="351">
        <v>7</v>
      </c>
      <c r="V97" s="352" t="s">
        <v>35</v>
      </c>
      <c r="W97" s="353">
        <v>5</v>
      </c>
      <c r="X97" s="390" t="s">
        <v>603</v>
      </c>
      <c r="AE97" s="61"/>
      <c r="AF97" s="61"/>
      <c r="AG97" s="61"/>
      <c r="AH97" s="61"/>
    </row>
    <row r="98" spans="1:34" s="394" customFormat="1" x14ac:dyDescent="0.4">
      <c r="A98" s="355"/>
      <c r="B98" s="356"/>
      <c r="C98" s="357"/>
      <c r="D98" s="358"/>
      <c r="E98" s="359"/>
      <c r="F98" s="360"/>
      <c r="G98" s="355" t="str">
        <f>IF(G97="②","③",IF(G97="⑤","⑥",""))</f>
        <v>③</v>
      </c>
      <c r="H98" s="356">
        <f>H97+0.042</f>
        <v>0.45899999999999996</v>
      </c>
      <c r="I98" s="357">
        <v>7</v>
      </c>
      <c r="J98" s="358" t="s">
        <v>35</v>
      </c>
      <c r="K98" s="359">
        <v>3</v>
      </c>
      <c r="L98" s="360" t="s">
        <v>85</v>
      </c>
      <c r="M98" s="355" t="str">
        <f>IF(M97="②","③",IF(M97="⑤","⑥",""))</f>
        <v>③</v>
      </c>
      <c r="N98" s="356">
        <f>N97+0.042</f>
        <v>0.45899999999999996</v>
      </c>
      <c r="O98" s="372">
        <v>9</v>
      </c>
      <c r="P98" s="373" t="s">
        <v>35</v>
      </c>
      <c r="Q98" s="374">
        <v>8</v>
      </c>
      <c r="R98" s="375" t="s">
        <v>601</v>
      </c>
      <c r="S98" s="355" t="str">
        <f>IF(S97="②","③",IF(S97="⑤","⑥",""))</f>
        <v>⑥</v>
      </c>
      <c r="T98" s="356">
        <f>T97+0.042</f>
        <v>0.64650000000000007</v>
      </c>
      <c r="U98" s="357">
        <v>7</v>
      </c>
      <c r="V98" s="358" t="s">
        <v>35</v>
      </c>
      <c r="W98" s="359">
        <v>3</v>
      </c>
      <c r="X98" s="360" t="s">
        <v>604</v>
      </c>
      <c r="AE98" s="61"/>
      <c r="AF98" s="61"/>
      <c r="AG98" s="61"/>
      <c r="AH98" s="61"/>
    </row>
    <row r="99" spans="1:34" ht="9.75" customHeight="1" x14ac:dyDescent="0.4">
      <c r="O99" s="13"/>
    </row>
    <row r="100" spans="1:34" ht="24" x14ac:dyDescent="0.4">
      <c r="A100" s="25" t="s">
        <v>204</v>
      </c>
      <c r="B100" s="25"/>
      <c r="C100" s="26"/>
      <c r="D100" s="26"/>
      <c r="E100" s="26"/>
      <c r="F100" s="27">
        <f>U12組合せ!B45</f>
        <v>44387</v>
      </c>
      <c r="G100" s="25"/>
      <c r="H100" s="27" t="str">
        <f>"("&amp;U12組合せ!C45&amp;")"</f>
        <v>(土)</v>
      </c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</row>
    <row r="101" spans="1:34" ht="4.5" customHeight="1" x14ac:dyDescent="0.4"/>
    <row r="102" spans="1:34" x14ac:dyDescent="0.4">
      <c r="A102" s="546" t="s">
        <v>29</v>
      </c>
      <c r="B102" s="547"/>
      <c r="C102" s="563" t="str">
        <f>U12組合せ!E46</f>
        <v>A1469</v>
      </c>
      <c r="D102" s="564"/>
      <c r="E102" s="564"/>
      <c r="F102" s="565"/>
      <c r="G102" s="546" t="s">
        <v>29</v>
      </c>
      <c r="H102" s="547"/>
      <c r="I102" s="563"/>
      <c r="J102" s="564"/>
      <c r="K102" s="564"/>
      <c r="L102" s="565"/>
      <c r="M102" s="546" t="s">
        <v>29</v>
      </c>
      <c r="N102" s="547"/>
      <c r="O102" s="543" t="str">
        <f>U12組合せ!I46</f>
        <v>C456</v>
      </c>
      <c r="P102" s="544"/>
      <c r="Q102" s="544"/>
      <c r="R102" s="545"/>
      <c r="S102" s="546" t="s">
        <v>29</v>
      </c>
      <c r="T102" s="547"/>
      <c r="U102" s="563"/>
      <c r="V102" s="564"/>
      <c r="W102" s="564"/>
      <c r="X102" s="565"/>
    </row>
    <row r="103" spans="1:34" x14ac:dyDescent="0.4">
      <c r="A103" s="538" t="s">
        <v>30</v>
      </c>
      <c r="B103" s="539"/>
      <c r="C103" s="550" t="str">
        <f>IF(U12組合せ!E45="","未定",U12組合せ!E45)</f>
        <v>本郷北小 AM</v>
      </c>
      <c r="D103" s="551"/>
      <c r="E103" s="551"/>
      <c r="F103" s="552"/>
      <c r="G103" s="538" t="s">
        <v>30</v>
      </c>
      <c r="H103" s="539"/>
      <c r="I103" s="550"/>
      <c r="J103" s="551"/>
      <c r="K103" s="551"/>
      <c r="L103" s="552"/>
      <c r="M103" s="538" t="s">
        <v>71</v>
      </c>
      <c r="N103" s="539"/>
      <c r="O103" s="540" t="str">
        <f>IF(U12組合せ!I45="","未定",U12組合せ!I45)</f>
        <v>GP白沢 南/北AM</v>
      </c>
      <c r="P103" s="541"/>
      <c r="Q103" s="541"/>
      <c r="R103" s="542"/>
      <c r="S103" s="538" t="s">
        <v>71</v>
      </c>
      <c r="T103" s="539"/>
      <c r="U103" s="550"/>
      <c r="V103" s="551"/>
      <c r="W103" s="551"/>
      <c r="X103" s="552"/>
      <c r="Z103" t="str">
        <f>IF(COUNTIF(C103,"石井*AM*"),"AM",IF(COUNTIF(C103,"*PM*"),"PM","AMF"))</f>
        <v>AMF</v>
      </c>
      <c r="AA103" t="str">
        <f>IF(COUNTIF(I103,"石井*AM*"),"AM",IF(COUNTIF(I103,"*PM*"),"PM","AMF"))</f>
        <v>AMF</v>
      </c>
      <c r="AB103" t="str">
        <f>IF(COUNTIF(O103,"*石井*AM*"),"AM",IF(COUNTIF(O103,"*PM*"),"PM","AMF"))</f>
        <v>AMF</v>
      </c>
      <c r="AC103" t="str">
        <f>IF(COUNTIF(U103,"石井*AM*"),"AM",IF(COUNTIF(U103,"*PM*"),"PM","AMF"))</f>
        <v>AMF</v>
      </c>
    </row>
    <row r="104" spans="1:34" x14ac:dyDescent="0.4">
      <c r="A104" s="538" t="s">
        <v>31</v>
      </c>
      <c r="B104" s="539"/>
      <c r="C104" s="556" t="str">
        <f>Ａブロック対戦表!T378</f>
        <v>本郷北ＦＣ</v>
      </c>
      <c r="D104" s="557"/>
      <c r="E104" s="557"/>
      <c r="F104" s="558"/>
      <c r="G104" s="538" t="s">
        <v>31</v>
      </c>
      <c r="H104" s="539"/>
      <c r="I104" s="556"/>
      <c r="J104" s="557"/>
      <c r="K104" s="557"/>
      <c r="L104" s="558"/>
      <c r="M104" s="538" t="s">
        <v>31</v>
      </c>
      <c r="N104" s="539"/>
      <c r="O104" s="569" t="str">
        <f>'Cブロック対戦表 '!T386</f>
        <v>ともぞうSC　U11</v>
      </c>
      <c r="P104" s="570"/>
      <c r="Q104" s="570"/>
      <c r="R104" s="571"/>
      <c r="S104" s="538" t="s">
        <v>31</v>
      </c>
      <c r="T104" s="539"/>
      <c r="U104" s="556"/>
      <c r="V104" s="557"/>
      <c r="W104" s="557"/>
      <c r="X104" s="558"/>
    </row>
    <row r="105" spans="1:34" x14ac:dyDescent="0.4">
      <c r="A105" s="343" t="str">
        <f>IF($Z103="AM",$Y$6,IF($Z103="PM",$Y$9,IF($Z103="AMF",$Y$6,"")))</f>
        <v>①</v>
      </c>
      <c r="B105" s="344">
        <f>IF(Z103="AM",$AB$1,IF(Z103="PM",$AB$3,IF(Z103="AMF",$AB$5,"")))</f>
        <v>0.375</v>
      </c>
      <c r="C105" s="361">
        <v>1</v>
      </c>
      <c r="D105" s="362" t="s">
        <v>35</v>
      </c>
      <c r="E105" s="363">
        <v>9</v>
      </c>
      <c r="F105" s="364" t="s">
        <v>207</v>
      </c>
      <c r="G105" s="343" t="str">
        <f>IF($AA103="AM",$Y$6,IF($AA103="PM",$Y$9,IF($AA103="AMF",$Y$6,"")))</f>
        <v>①</v>
      </c>
      <c r="H105" s="344">
        <f>IF(AA103="AM",$AB$1,IF(AA103="PM",$AB$3,IF(AA103="AMF",$AB$5,"")))</f>
        <v>0.375</v>
      </c>
      <c r="I105" s="361"/>
      <c r="J105" s="362"/>
      <c r="K105" s="363"/>
      <c r="L105" s="364"/>
      <c r="M105" s="343" t="str">
        <f>IF($AB103="AM",$Y$6,IF($AB103="PM",$Y$9,IF($AB103="AMF",$Y$6,"")))</f>
        <v>①</v>
      </c>
      <c r="N105" s="344">
        <f>IF(AB103="AM",$AB$1,IF(AB103="PM",$AB$3,IF(AB103="AMF",$AB$5,"")))</f>
        <v>0.375</v>
      </c>
      <c r="O105" s="416">
        <v>4</v>
      </c>
      <c r="P105" s="417" t="s">
        <v>35</v>
      </c>
      <c r="Q105" s="418">
        <v>5</v>
      </c>
      <c r="R105" s="419" t="s">
        <v>64</v>
      </c>
      <c r="S105" s="343" t="str">
        <f>IF($AC103="AM",$Y$6,IF($AC103="PM",$Y$9,IF($AC103="AMF",$Y$6,"")))</f>
        <v>①</v>
      </c>
      <c r="T105" s="344">
        <f>IF(AC103="AM",$AB$1,IF(AC103="PM",$AB$3,IF(AC103="AMF",$AB$5,"")))</f>
        <v>0.375</v>
      </c>
      <c r="U105" s="361"/>
      <c r="V105" s="362"/>
      <c r="W105" s="363"/>
      <c r="X105" s="364"/>
    </row>
    <row r="106" spans="1:34" x14ac:dyDescent="0.4">
      <c r="A106" s="349" t="str">
        <f>IF(A105="①","②",IF(A105="④","⑤",""))</f>
        <v>②</v>
      </c>
      <c r="B106" s="350">
        <f>B105+0.042</f>
        <v>0.41699999999999998</v>
      </c>
      <c r="C106" s="351">
        <v>4</v>
      </c>
      <c r="D106" s="352" t="s">
        <v>35</v>
      </c>
      <c r="E106" s="353">
        <v>9</v>
      </c>
      <c r="F106" s="354" t="s">
        <v>205</v>
      </c>
      <c r="G106" s="349" t="str">
        <f>IF(G105="①","②",IF(G105="④","⑤",""))</f>
        <v>②</v>
      </c>
      <c r="H106" s="350">
        <f>H105+0.042</f>
        <v>0.41699999999999998</v>
      </c>
      <c r="I106" s="351"/>
      <c r="J106" s="352"/>
      <c r="K106" s="353"/>
      <c r="L106" s="354"/>
      <c r="M106" s="349" t="str">
        <f>IF(M105="①","②",IF(M105="④","⑤",""))</f>
        <v>②</v>
      </c>
      <c r="N106" s="350">
        <f>N105+0.042</f>
        <v>0.41699999999999998</v>
      </c>
      <c r="O106" s="420">
        <v>4</v>
      </c>
      <c r="P106" s="421" t="s">
        <v>35</v>
      </c>
      <c r="Q106" s="422">
        <v>6</v>
      </c>
      <c r="R106" s="423" t="s">
        <v>60</v>
      </c>
      <c r="S106" s="349" t="str">
        <f>IF(S105="①","②",IF(S105="④","⑤",""))</f>
        <v>②</v>
      </c>
      <c r="T106" s="350">
        <f>T105+0.042</f>
        <v>0.41699999999999998</v>
      </c>
      <c r="U106" s="351"/>
      <c r="V106" s="352"/>
      <c r="W106" s="353"/>
      <c r="X106" s="354"/>
    </row>
    <row r="107" spans="1:34" x14ac:dyDescent="0.4">
      <c r="A107" s="355" t="str">
        <f>IF(A106="②","③",IF(A106="⑤","⑥",""))</f>
        <v>③</v>
      </c>
      <c r="B107" s="356">
        <f>B106+0.042</f>
        <v>0.45899999999999996</v>
      </c>
      <c r="C107" s="357">
        <v>4</v>
      </c>
      <c r="D107" s="358" t="s">
        <v>35</v>
      </c>
      <c r="E107" s="359">
        <v>6</v>
      </c>
      <c r="F107" s="360" t="s">
        <v>206</v>
      </c>
      <c r="G107" s="355" t="str">
        <f>IF(G106="②","③",IF(G106="⑤","⑥",""))</f>
        <v>③</v>
      </c>
      <c r="H107" s="356">
        <f>H106+0.042</f>
        <v>0.45899999999999996</v>
      </c>
      <c r="I107" s="357"/>
      <c r="J107" s="358"/>
      <c r="K107" s="359"/>
      <c r="L107" s="360"/>
      <c r="M107" s="355" t="str">
        <f>IF(M106="②","③",IF(M106="⑤","⑥",""))</f>
        <v>③</v>
      </c>
      <c r="N107" s="356">
        <f>N106+0.042</f>
        <v>0.45899999999999996</v>
      </c>
      <c r="O107" s="424"/>
      <c r="P107" s="425"/>
      <c r="Q107" s="426"/>
      <c r="R107" s="427"/>
      <c r="S107" s="355" t="str">
        <f>IF(S106="②","③",IF(S106="⑤","⑥",""))</f>
        <v>③</v>
      </c>
      <c r="T107" s="356">
        <f>T106+0.042</f>
        <v>0.45899999999999996</v>
      </c>
      <c r="U107" s="357"/>
      <c r="V107" s="358"/>
      <c r="W107" s="359"/>
      <c r="X107" s="360"/>
    </row>
    <row r="108" spans="1:34" ht="6.75" customHeight="1" x14ac:dyDescent="0.4">
      <c r="A108" s="29"/>
      <c r="B108" s="30"/>
      <c r="C108" s="31"/>
      <c r="D108" s="31"/>
      <c r="E108" s="31"/>
      <c r="F108" s="30"/>
      <c r="G108" s="30"/>
      <c r="H108" s="30"/>
      <c r="I108" s="31"/>
      <c r="J108" s="31"/>
      <c r="K108" s="31"/>
      <c r="L108" s="30"/>
      <c r="M108" s="30"/>
      <c r="N108" s="30"/>
      <c r="O108" s="31"/>
      <c r="P108" s="31"/>
      <c r="Q108" s="31"/>
      <c r="R108" s="30"/>
      <c r="S108" s="30"/>
      <c r="T108" s="30"/>
      <c r="U108" s="31"/>
      <c r="V108" s="31"/>
      <c r="W108" s="31"/>
      <c r="X108" s="32"/>
    </row>
    <row r="109" spans="1:34" x14ac:dyDescent="0.4">
      <c r="A109" s="546" t="s">
        <v>29</v>
      </c>
      <c r="B109" s="547"/>
      <c r="C109" s="563" t="str">
        <f>U12組合せ!E48</f>
        <v>A2358　C45</v>
      </c>
      <c r="D109" s="564"/>
      <c r="E109" s="564"/>
      <c r="F109" s="565"/>
      <c r="G109" s="546" t="s">
        <v>29</v>
      </c>
      <c r="H109" s="547"/>
      <c r="I109" s="563"/>
      <c r="J109" s="564"/>
      <c r="K109" s="564"/>
      <c r="L109" s="565"/>
      <c r="M109" s="546" t="s">
        <v>29</v>
      </c>
      <c r="N109" s="547"/>
      <c r="O109" s="563"/>
      <c r="P109" s="564"/>
      <c r="Q109" s="564"/>
      <c r="R109" s="565"/>
      <c r="S109" s="546" t="s">
        <v>29</v>
      </c>
      <c r="T109" s="547"/>
      <c r="U109" s="563"/>
      <c r="V109" s="564"/>
      <c r="W109" s="564"/>
      <c r="X109" s="565"/>
    </row>
    <row r="110" spans="1:34" x14ac:dyDescent="0.4">
      <c r="A110" s="538" t="s">
        <v>30</v>
      </c>
      <c r="B110" s="539"/>
      <c r="C110" s="550" t="str">
        <f>IF(U12組合せ!E47="","未定",U12組合せ!E47)</f>
        <v>GP白沢 北 AM</v>
      </c>
      <c r="D110" s="551"/>
      <c r="E110" s="551"/>
      <c r="F110" s="552"/>
      <c r="G110" s="538" t="s">
        <v>30</v>
      </c>
      <c r="H110" s="539"/>
      <c r="I110" s="550"/>
      <c r="J110" s="551"/>
      <c r="K110" s="551"/>
      <c r="L110" s="552"/>
      <c r="M110" s="538" t="s">
        <v>30</v>
      </c>
      <c r="N110" s="539"/>
      <c r="O110" s="550"/>
      <c r="P110" s="551"/>
      <c r="Q110" s="551"/>
      <c r="R110" s="552"/>
      <c r="S110" s="538" t="s">
        <v>30</v>
      </c>
      <c r="T110" s="539"/>
      <c r="U110" s="550"/>
      <c r="V110" s="551"/>
      <c r="W110" s="551"/>
      <c r="X110" s="552"/>
      <c r="Z110" t="str">
        <f>IF(COUNTIF(C110,"石井*AM*"),"AM",IF(COUNTIF(C110,"*PM*"),"PM","AMF"))</f>
        <v>AMF</v>
      </c>
      <c r="AA110" t="str">
        <f>IF(COUNTIF(I110,"石井*AM*"),"AM",IF(COUNTIF(I110,"*PM*"),"PM","AMF"))</f>
        <v>AMF</v>
      </c>
      <c r="AB110" t="str">
        <f>IF(COUNTIF(O110,"*石井*AM*"),"AM",IF(COUNTIF(O110,"*PM*"),"PM","AMF"))</f>
        <v>AMF</v>
      </c>
      <c r="AC110" t="str">
        <f>IF(COUNTIF(U110,"石井*AM*"),"AM",IF(COUNTIF(U110,"*PM*"),"PM","AMF"))</f>
        <v>AMF</v>
      </c>
    </row>
    <row r="111" spans="1:34" x14ac:dyDescent="0.4">
      <c r="A111" s="538" t="s">
        <v>31</v>
      </c>
      <c r="B111" s="539"/>
      <c r="C111" s="556" t="str">
        <f>Ａブロック対戦表!T409</f>
        <v>国本ＪＳＣ</v>
      </c>
      <c r="D111" s="557"/>
      <c r="E111" s="557"/>
      <c r="F111" s="558"/>
      <c r="G111" s="538" t="s">
        <v>31</v>
      </c>
      <c r="H111" s="539"/>
      <c r="I111" s="556"/>
      <c r="J111" s="557"/>
      <c r="K111" s="557"/>
      <c r="L111" s="558"/>
      <c r="M111" s="538" t="s">
        <v>31</v>
      </c>
      <c r="N111" s="539"/>
      <c r="O111" s="575"/>
      <c r="P111" s="576"/>
      <c r="Q111" s="576"/>
      <c r="R111" s="577"/>
      <c r="S111" s="538" t="s">
        <v>31</v>
      </c>
      <c r="T111" s="539"/>
      <c r="U111" s="556"/>
      <c r="V111" s="557"/>
      <c r="W111" s="557"/>
      <c r="X111" s="558"/>
      <c r="Z111" s="28"/>
    </row>
    <row r="112" spans="1:34" x14ac:dyDescent="0.4">
      <c r="A112" s="343" t="str">
        <f>IF($Z110="AM",$Y$6,IF($Z110="PM",$Y$9,IF($Z110="AMF",$Y$6,"")))</f>
        <v>①</v>
      </c>
      <c r="B112" s="344">
        <f>IF(Z110="AM",$AB$1,IF(Z110="PM",$AB$3,IF(Z110="AMF",$AB$5,"")))</f>
        <v>0.375</v>
      </c>
      <c r="C112" s="361">
        <v>3</v>
      </c>
      <c r="D112" s="362" t="s">
        <v>35</v>
      </c>
      <c r="E112" s="363">
        <v>5</v>
      </c>
      <c r="F112" s="364" t="s">
        <v>605</v>
      </c>
      <c r="G112" s="343" t="str">
        <f>IF($AA110="AM",$Y$6,IF($AA110="PM",$Y$9,IF($AA110="AMF",$Y$6,"")))</f>
        <v>①</v>
      </c>
      <c r="H112" s="344">
        <f>IF(AA110="AM",$AB$1,IF(AA110="PM",$AB$3,IF(AA110="AMF",$AB$5,"")))</f>
        <v>0.375</v>
      </c>
      <c r="I112" s="361"/>
      <c r="J112" s="362"/>
      <c r="K112" s="363"/>
      <c r="L112" s="364"/>
      <c r="M112" s="343" t="str">
        <f>IF($AB110="AM",$Y$6,IF($AB110="PM",$Y$9,IF($AB110="AMF",$Y$6,"")))</f>
        <v>①</v>
      </c>
      <c r="N112" s="344">
        <f>IF(AB110="AM",$AB$1,IF(AB110="PM",$AB$3,IF(AB110="AMF",$AB$5,"")))</f>
        <v>0.375</v>
      </c>
      <c r="O112" s="365"/>
      <c r="P112" s="366"/>
      <c r="Q112" s="367"/>
      <c r="R112" s="368"/>
      <c r="S112" s="343" t="str">
        <f>IF($AC110="AM",$Y$6,IF($AC110="PM",$Y$9,IF($AC110="AMF",$Y$6,"")))</f>
        <v>①</v>
      </c>
      <c r="T112" s="344">
        <f>IF(AC110="AM",$AB$1,IF(AC110="PM",$AB$3,IF(AC110="AMF",$AB$5,"")))</f>
        <v>0.375</v>
      </c>
      <c r="U112" s="361"/>
      <c r="V112" s="362"/>
      <c r="W112" s="363"/>
      <c r="X112" s="364"/>
      <c r="Z112" s="28"/>
    </row>
    <row r="113" spans="1:29" x14ac:dyDescent="0.4">
      <c r="A113" s="349" t="str">
        <f>IF(A112="①","②",IF(A112="④","⑤",""))</f>
        <v>②</v>
      </c>
      <c r="B113" s="350">
        <f>B112+0.042</f>
        <v>0.41699999999999998</v>
      </c>
      <c r="C113" s="351" t="s">
        <v>468</v>
      </c>
      <c r="D113" s="352" t="s">
        <v>35</v>
      </c>
      <c r="E113" s="353" t="s">
        <v>470</v>
      </c>
      <c r="F113" s="354" t="s">
        <v>606</v>
      </c>
      <c r="G113" s="349" t="str">
        <f>IF(G112="①","②",IF(G112="④","⑤",""))</f>
        <v>②</v>
      </c>
      <c r="H113" s="350">
        <f>H112+0.042</f>
        <v>0.41699999999999998</v>
      </c>
      <c r="I113" s="351"/>
      <c r="J113" s="352"/>
      <c r="K113" s="353"/>
      <c r="L113" s="354"/>
      <c r="M113" s="349" t="str">
        <f>IF(M112="①","②",IF(M112="④","⑤",""))</f>
        <v>②</v>
      </c>
      <c r="N113" s="350">
        <f>N112+0.042</f>
        <v>0.41699999999999998</v>
      </c>
      <c r="O113" s="369"/>
      <c r="P113" s="370"/>
      <c r="Q113" s="371"/>
      <c r="R113" s="354"/>
      <c r="S113" s="349" t="str">
        <f>IF(S112="①","②",IF(S112="④","⑤",""))</f>
        <v>②</v>
      </c>
      <c r="T113" s="350">
        <f>T112+0.042</f>
        <v>0.41699999999999998</v>
      </c>
      <c r="U113" s="351"/>
      <c r="V113" s="352"/>
      <c r="W113" s="353"/>
      <c r="X113" s="354"/>
    </row>
    <row r="114" spans="1:29" x14ac:dyDescent="0.4">
      <c r="A114" s="355" t="str">
        <f>IF(A113="②","③",IF(A113="⑤","⑥",""))</f>
        <v>③</v>
      </c>
      <c r="B114" s="356">
        <f>B113+0.042</f>
        <v>0.45899999999999996</v>
      </c>
      <c r="C114" s="357">
        <v>2</v>
      </c>
      <c r="D114" s="358"/>
      <c r="E114" s="359">
        <v>8</v>
      </c>
      <c r="F114" s="360" t="s">
        <v>607</v>
      </c>
      <c r="G114" s="355" t="str">
        <f>IF(G113="②","③",IF(G113="⑤","⑥",""))</f>
        <v>③</v>
      </c>
      <c r="H114" s="356">
        <f>H113+0.042</f>
        <v>0.45899999999999996</v>
      </c>
      <c r="I114" s="357"/>
      <c r="J114" s="358"/>
      <c r="K114" s="359"/>
      <c r="L114" s="360"/>
      <c r="M114" s="355" t="str">
        <f>IF(M113="②","③",IF(M113="⑤","⑥",""))</f>
        <v>③</v>
      </c>
      <c r="N114" s="356">
        <f>N113+0.042</f>
        <v>0.45899999999999996</v>
      </c>
      <c r="O114" s="372"/>
      <c r="P114" s="373"/>
      <c r="Q114" s="374"/>
      <c r="R114" s="375"/>
      <c r="S114" s="355" t="str">
        <f>IF(S113="②","③",IF(S113="⑤","⑥",""))</f>
        <v>③</v>
      </c>
      <c r="T114" s="356">
        <f>T113+0.042</f>
        <v>0.45899999999999996</v>
      </c>
      <c r="U114" s="357"/>
      <c r="V114" s="358"/>
      <c r="W114" s="359"/>
      <c r="X114" s="360"/>
    </row>
    <row r="115" spans="1:29" ht="7.5" customHeight="1" x14ac:dyDescent="0.4">
      <c r="A115" s="29"/>
      <c r="B115" s="30"/>
      <c r="C115" s="31"/>
      <c r="D115" s="31"/>
      <c r="E115" s="31"/>
      <c r="F115" s="30"/>
      <c r="G115" s="30"/>
      <c r="H115" s="30"/>
      <c r="I115" s="31"/>
      <c r="J115" s="31"/>
      <c r="K115" s="31"/>
      <c r="L115" s="30"/>
      <c r="M115" s="30"/>
      <c r="N115" s="30"/>
      <c r="O115" s="31"/>
      <c r="P115" s="31"/>
      <c r="Q115" s="31"/>
      <c r="R115" s="30"/>
      <c r="S115" s="30"/>
      <c r="T115" s="30"/>
      <c r="U115" s="31"/>
      <c r="V115" s="31"/>
      <c r="W115" s="31"/>
      <c r="X115" s="32"/>
    </row>
    <row r="116" spans="1:29" x14ac:dyDescent="0.4">
      <c r="A116" s="546" t="s">
        <v>29</v>
      </c>
      <c r="B116" s="547"/>
      <c r="C116" s="563" t="str">
        <f>U12組合せ!E50</f>
        <v>A25710 C46</v>
      </c>
      <c r="D116" s="564"/>
      <c r="E116" s="564"/>
      <c r="F116" s="565"/>
      <c r="G116" s="546" t="s">
        <v>29</v>
      </c>
      <c r="H116" s="547"/>
      <c r="I116" s="563"/>
      <c r="J116" s="564"/>
      <c r="K116" s="564"/>
      <c r="L116" s="565"/>
      <c r="M116" s="546" t="s">
        <v>29</v>
      </c>
      <c r="N116" s="547"/>
      <c r="O116" s="563"/>
      <c r="P116" s="564"/>
      <c r="Q116" s="564"/>
      <c r="R116" s="565"/>
      <c r="S116" s="546" t="s">
        <v>29</v>
      </c>
      <c r="T116" s="547"/>
      <c r="U116" s="563"/>
      <c r="V116" s="564"/>
      <c r="W116" s="564"/>
      <c r="X116" s="565"/>
    </row>
    <row r="117" spans="1:29" x14ac:dyDescent="0.4">
      <c r="A117" s="538" t="s">
        <v>30</v>
      </c>
      <c r="B117" s="539"/>
      <c r="C117" s="550" t="str">
        <f>IF(U12組合せ!E49="","未定",U12組合せ!E49)</f>
        <v>GP白沢 南AM</v>
      </c>
      <c r="D117" s="551"/>
      <c r="E117" s="551"/>
      <c r="F117" s="552"/>
      <c r="G117" s="538" t="s">
        <v>30</v>
      </c>
      <c r="H117" s="539"/>
      <c r="I117" s="550"/>
      <c r="J117" s="551"/>
      <c r="K117" s="551"/>
      <c r="L117" s="552"/>
      <c r="M117" s="538" t="s">
        <v>71</v>
      </c>
      <c r="N117" s="539"/>
      <c r="O117" s="550"/>
      <c r="P117" s="551"/>
      <c r="Q117" s="551"/>
      <c r="R117" s="552"/>
      <c r="S117" s="538" t="s">
        <v>71</v>
      </c>
      <c r="T117" s="539"/>
      <c r="U117" s="550"/>
      <c r="V117" s="551"/>
      <c r="W117" s="551"/>
      <c r="X117" s="552"/>
      <c r="Z117" t="str">
        <f>IF(COUNTIF(C117,"石井*AM*"),"AM",IF(COUNTIF(C117,"*PM*"),"PM","AMF"))</f>
        <v>AMF</v>
      </c>
      <c r="AA117" t="str">
        <f>IF(COUNTIF(I117,"石井*AM*"),"AM",IF(COUNTIF(I117,"*PM*"),"PM","AMF"))</f>
        <v>AMF</v>
      </c>
      <c r="AB117" t="str">
        <f>IF(COUNTIF(O117,"*AM*"),"AM",IF(COUNTIF(O117,"*PM*"),"PM","AMF"))</f>
        <v>AMF</v>
      </c>
      <c r="AC117" t="str">
        <f>IF(COUNTIF(U117,"石井*AM*"),"AM",IF(COUNTIF(U117,"*PM*"),"PM","AMF"))</f>
        <v>AMF</v>
      </c>
    </row>
    <row r="118" spans="1:29" x14ac:dyDescent="0.4">
      <c r="A118" s="538" t="s">
        <v>31</v>
      </c>
      <c r="B118" s="539"/>
      <c r="C118" s="556" t="str">
        <f>Ａブロック対戦表!T440</f>
        <v>FCアネーロ・U-12</v>
      </c>
      <c r="D118" s="557"/>
      <c r="E118" s="557"/>
      <c r="F118" s="558"/>
      <c r="G118" s="538" t="s">
        <v>31</v>
      </c>
      <c r="H118" s="539"/>
      <c r="I118" s="556"/>
      <c r="J118" s="557"/>
      <c r="K118" s="557"/>
      <c r="L118" s="558"/>
      <c r="M118" s="538" t="s">
        <v>31</v>
      </c>
      <c r="N118" s="539"/>
      <c r="O118" s="575"/>
      <c r="P118" s="576"/>
      <c r="Q118" s="576"/>
      <c r="R118" s="577"/>
      <c r="S118" s="538" t="s">
        <v>31</v>
      </c>
      <c r="T118" s="539"/>
      <c r="U118" s="556"/>
      <c r="V118" s="557"/>
      <c r="W118" s="557"/>
      <c r="X118" s="558"/>
      <c r="Z118" s="28"/>
    </row>
    <row r="119" spans="1:29" x14ac:dyDescent="0.4">
      <c r="A119" s="343" t="str">
        <f>IF($Z117="AM",$Y$6,IF($Z117="PM",$Y$9,IF($Z117="AMF",$Y$6,"")))</f>
        <v>①</v>
      </c>
      <c r="B119" s="344">
        <f>IF(Z117="AM",$AB$1,IF(Z117="PM",$AB$3,IF(Z117="AMF",$AB$5,"")))</f>
        <v>0.375</v>
      </c>
      <c r="C119" s="361">
        <v>2</v>
      </c>
      <c r="D119" s="362" t="s">
        <v>35</v>
      </c>
      <c r="E119" s="363">
        <v>7</v>
      </c>
      <c r="F119" s="364" t="s">
        <v>608</v>
      </c>
      <c r="G119" s="343" t="str">
        <f>IF($AA117="AM",$Y$6,IF($AA117="PM",$Y$9,IF($AA117="AMF",$Y$6,"")))</f>
        <v>①</v>
      </c>
      <c r="H119" s="344">
        <f>IF(AA117="AM",$AB$1,IF(AA117="PM",$AB$3,IF(AA117="AMF",$AB$5,"")))</f>
        <v>0.375</v>
      </c>
      <c r="I119" s="361"/>
      <c r="J119" s="362"/>
      <c r="K119" s="363"/>
      <c r="L119" s="364"/>
      <c r="M119" s="343" t="str">
        <f>IF($AB117="AM",$Y$6,IF($AB117="PM",$Y$9,IF($AB117="AMF",$Y$6,"")))</f>
        <v>①</v>
      </c>
      <c r="N119" s="344">
        <f>IF(AB117="AM",$AB$1,IF(AB117="PM",$AB$3,IF(AB117="AMF",$AB$5,"")))</f>
        <v>0.375</v>
      </c>
      <c r="O119" s="365"/>
      <c r="P119" s="366"/>
      <c r="Q119" s="367"/>
      <c r="R119" s="368"/>
      <c r="S119" s="343" t="str">
        <f>IF($AC117="AM",$Y$6,IF($AC117="PM",$Y$9,IF($AC117="AMF",$Y$6,"")))</f>
        <v>①</v>
      </c>
      <c r="T119" s="344">
        <f>IF(AC117="AM",$AB$1,IF(AC117="PM",$AB$3,IF(AC117="AMF",$AB$5,"")))</f>
        <v>0.375</v>
      </c>
      <c r="U119" s="361"/>
      <c r="V119" s="362"/>
      <c r="W119" s="363"/>
      <c r="X119" s="364"/>
      <c r="Z119" s="28"/>
    </row>
    <row r="120" spans="1:29" x14ac:dyDescent="0.4">
      <c r="A120" s="349" t="str">
        <f>IF(A119="①","②",IF(A119="④","⑤",""))</f>
        <v>②</v>
      </c>
      <c r="B120" s="350">
        <f>B119+0.042</f>
        <v>0.41699999999999998</v>
      </c>
      <c r="C120" s="351">
        <v>10</v>
      </c>
      <c r="D120" s="352" t="s">
        <v>35</v>
      </c>
      <c r="E120" s="353">
        <v>5</v>
      </c>
      <c r="F120" s="354" t="s">
        <v>609</v>
      </c>
      <c r="G120" s="349" t="str">
        <f>IF(G119="①","②",IF(G119="④","⑤",""))</f>
        <v>②</v>
      </c>
      <c r="H120" s="350">
        <f>H119+0.042</f>
        <v>0.41699999999999998</v>
      </c>
      <c r="I120" s="351"/>
      <c r="J120" s="352"/>
      <c r="K120" s="353"/>
      <c r="L120" s="354"/>
      <c r="M120" s="349" t="str">
        <f>IF(M119="①","②",IF(M119="④","⑤",""))</f>
        <v>②</v>
      </c>
      <c r="N120" s="350">
        <f>N119+0.042</f>
        <v>0.41699999999999998</v>
      </c>
      <c r="O120" s="369"/>
      <c r="P120" s="370"/>
      <c r="Q120" s="371"/>
      <c r="R120" s="354"/>
      <c r="S120" s="349" t="str">
        <f>IF(S119="①","②",IF(S119="④","⑤",""))</f>
        <v>②</v>
      </c>
      <c r="T120" s="350">
        <f>T119+0.042</f>
        <v>0.41699999999999998</v>
      </c>
      <c r="U120" s="351"/>
      <c r="V120" s="352"/>
      <c r="W120" s="353"/>
      <c r="X120" s="354"/>
    </row>
    <row r="121" spans="1:29" x14ac:dyDescent="0.4">
      <c r="A121" s="355" t="str">
        <f>IF(A120="②","③",IF(A120="⑤","⑥",""))</f>
        <v>③</v>
      </c>
      <c r="B121" s="356">
        <f>B120+0.042</f>
        <v>0.45899999999999996</v>
      </c>
      <c r="C121" s="357" t="s">
        <v>468</v>
      </c>
      <c r="D121" s="358" t="s">
        <v>35</v>
      </c>
      <c r="E121" s="359" t="s">
        <v>472</v>
      </c>
      <c r="F121" s="360" t="s">
        <v>610</v>
      </c>
      <c r="G121" s="355" t="str">
        <f>IF(G120="②","③",IF(G120="⑤","⑥",""))</f>
        <v>③</v>
      </c>
      <c r="H121" s="356">
        <f>H120+0.042</f>
        <v>0.45899999999999996</v>
      </c>
      <c r="I121" s="357"/>
      <c r="J121" s="358"/>
      <c r="K121" s="359"/>
      <c r="L121" s="360"/>
      <c r="M121" s="355" t="str">
        <f>IF(M120="②","③",IF(M120="⑤","⑥",""))</f>
        <v>③</v>
      </c>
      <c r="N121" s="356">
        <f>N120+0.042</f>
        <v>0.45899999999999996</v>
      </c>
      <c r="O121" s="372"/>
      <c r="P121" s="373"/>
      <c r="Q121" s="374"/>
      <c r="R121" s="375"/>
      <c r="S121" s="355" t="str">
        <f>IF(S120="②","③",IF(S120="⑤","⑥",""))</f>
        <v>③</v>
      </c>
      <c r="T121" s="356">
        <f>T120+0.042</f>
        <v>0.45899999999999996</v>
      </c>
      <c r="U121" s="357"/>
      <c r="V121" s="358"/>
      <c r="W121" s="359"/>
      <c r="X121" s="360"/>
    </row>
  </sheetData>
  <mergeCells count="360">
    <mergeCell ref="A95:B95"/>
    <mergeCell ref="C95:F95"/>
    <mergeCell ref="G95:H95"/>
    <mergeCell ref="I95:L95"/>
    <mergeCell ref="M95:N95"/>
    <mergeCell ref="A94:B94"/>
    <mergeCell ref="C94:F94"/>
    <mergeCell ref="G94:H94"/>
    <mergeCell ref="I94:L94"/>
    <mergeCell ref="M94:N94"/>
    <mergeCell ref="A93:B93"/>
    <mergeCell ref="C93:F93"/>
    <mergeCell ref="G93:H93"/>
    <mergeCell ref="I93:L93"/>
    <mergeCell ref="A88:B88"/>
    <mergeCell ref="O88:R88"/>
    <mergeCell ref="O93:R93"/>
    <mergeCell ref="M93:N93"/>
    <mergeCell ref="U94:X94"/>
    <mergeCell ref="O94:R94"/>
    <mergeCell ref="U88:X88"/>
    <mergeCell ref="U93:X93"/>
    <mergeCell ref="A55:B55"/>
    <mergeCell ref="A81:B81"/>
    <mergeCell ref="C81:F81"/>
    <mergeCell ref="I71:L71"/>
    <mergeCell ref="M71:N71"/>
    <mergeCell ref="O71:R71"/>
    <mergeCell ref="G81:H81"/>
    <mergeCell ref="I81:L81"/>
    <mergeCell ref="M81:N81"/>
    <mergeCell ref="M72:N72"/>
    <mergeCell ref="M79:N79"/>
    <mergeCell ref="O72:R72"/>
    <mergeCell ref="C70:F70"/>
    <mergeCell ref="G70:H70"/>
    <mergeCell ref="C79:F79"/>
    <mergeCell ref="O64:R64"/>
    <mergeCell ref="U80:X80"/>
    <mergeCell ref="A65:B65"/>
    <mergeCell ref="C65:F65"/>
    <mergeCell ref="G65:H65"/>
    <mergeCell ref="A80:B80"/>
    <mergeCell ref="C80:F80"/>
    <mergeCell ref="G80:H80"/>
    <mergeCell ref="I80:L80"/>
    <mergeCell ref="M80:N80"/>
    <mergeCell ref="U65:X65"/>
    <mergeCell ref="C72:F72"/>
    <mergeCell ref="G72:H72"/>
    <mergeCell ref="I72:L72"/>
    <mergeCell ref="O70:R70"/>
    <mergeCell ref="S80:T80"/>
    <mergeCell ref="S70:T70"/>
    <mergeCell ref="I65:L65"/>
    <mergeCell ref="M65:N65"/>
    <mergeCell ref="S65:T65"/>
    <mergeCell ref="A44:B44"/>
    <mergeCell ref="C44:F44"/>
    <mergeCell ref="G44:H44"/>
    <mergeCell ref="I44:L44"/>
    <mergeCell ref="G22:H22"/>
    <mergeCell ref="O79:R79"/>
    <mergeCell ref="S71:T71"/>
    <mergeCell ref="M31:N31"/>
    <mergeCell ref="M30:N30"/>
    <mergeCell ref="S22:T22"/>
    <mergeCell ref="A39:B39"/>
    <mergeCell ref="C39:F39"/>
    <mergeCell ref="G39:H39"/>
    <mergeCell ref="I39:L39"/>
    <mergeCell ref="M39:N39"/>
    <mergeCell ref="G46:H46"/>
    <mergeCell ref="I46:L46"/>
    <mergeCell ref="I54:L54"/>
    <mergeCell ref="M54:N54"/>
    <mergeCell ref="I64:L64"/>
    <mergeCell ref="M64:N64"/>
    <mergeCell ref="I53:L53"/>
    <mergeCell ref="O45:R45"/>
    <mergeCell ref="O53:R53"/>
    <mergeCell ref="A37:B37"/>
    <mergeCell ref="C37:F37"/>
    <mergeCell ref="G37:H37"/>
    <mergeCell ref="I37:L37"/>
    <mergeCell ref="A15:B15"/>
    <mergeCell ref="C15:F15"/>
    <mergeCell ref="A20:B20"/>
    <mergeCell ref="A21:B21"/>
    <mergeCell ref="C21:F21"/>
    <mergeCell ref="I22:L22"/>
    <mergeCell ref="G31:H31"/>
    <mergeCell ref="I31:L31"/>
    <mergeCell ref="A30:B30"/>
    <mergeCell ref="C30:F30"/>
    <mergeCell ref="G30:H30"/>
    <mergeCell ref="I30:L30"/>
    <mergeCell ref="A29:B29"/>
    <mergeCell ref="C29:F29"/>
    <mergeCell ref="G29:H29"/>
    <mergeCell ref="C22:F22"/>
    <mergeCell ref="A22:B22"/>
    <mergeCell ref="G20:H20"/>
    <mergeCell ref="G21:H21"/>
    <mergeCell ref="C31:F31"/>
    <mergeCell ref="A13:B13"/>
    <mergeCell ref="C13:F13"/>
    <mergeCell ref="A14:B14"/>
    <mergeCell ref="C14:F14"/>
    <mergeCell ref="C7:F7"/>
    <mergeCell ref="C20:F20"/>
    <mergeCell ref="G7:H7"/>
    <mergeCell ref="I7:L7"/>
    <mergeCell ref="G13:H13"/>
    <mergeCell ref="I20:L20"/>
    <mergeCell ref="G14:H14"/>
    <mergeCell ref="I14:L14"/>
    <mergeCell ref="G15:H15"/>
    <mergeCell ref="I13:L13"/>
    <mergeCell ref="A7:B7"/>
    <mergeCell ref="A5:B5"/>
    <mergeCell ref="A6:B6"/>
    <mergeCell ref="M5:N5"/>
    <mergeCell ref="O5:R5"/>
    <mergeCell ref="M6:N6"/>
    <mergeCell ref="O6:R6"/>
    <mergeCell ref="G5:H5"/>
    <mergeCell ref="I5:L5"/>
    <mergeCell ref="G6:H6"/>
    <mergeCell ref="I6:L6"/>
    <mergeCell ref="C5:F5"/>
    <mergeCell ref="C6:F6"/>
    <mergeCell ref="M14:N14"/>
    <mergeCell ref="O14:R14"/>
    <mergeCell ref="M7:N7"/>
    <mergeCell ref="O7:R7"/>
    <mergeCell ref="M13:N13"/>
    <mergeCell ref="O13:R13"/>
    <mergeCell ref="I15:L15"/>
    <mergeCell ref="I21:L21"/>
    <mergeCell ref="I29:L29"/>
    <mergeCell ref="M29:N29"/>
    <mergeCell ref="O29:R29"/>
    <mergeCell ref="M22:N22"/>
    <mergeCell ref="O20:R20"/>
    <mergeCell ref="O22:R22"/>
    <mergeCell ref="M20:N20"/>
    <mergeCell ref="M21:N21"/>
    <mergeCell ref="O21:R21"/>
    <mergeCell ref="M15:N15"/>
    <mergeCell ref="O15:R15"/>
    <mergeCell ref="O30:R30"/>
    <mergeCell ref="O31:R31"/>
    <mergeCell ref="O54:R54"/>
    <mergeCell ref="U31:X31"/>
    <mergeCell ref="S37:T37"/>
    <mergeCell ref="U37:X37"/>
    <mergeCell ref="S31:T31"/>
    <mergeCell ref="U45:X45"/>
    <mergeCell ref="O38:R38"/>
    <mergeCell ref="O46:R46"/>
    <mergeCell ref="U38:X38"/>
    <mergeCell ref="U39:X39"/>
    <mergeCell ref="U46:X46"/>
    <mergeCell ref="S38:T38"/>
    <mergeCell ref="S44:T44"/>
    <mergeCell ref="S39:T39"/>
    <mergeCell ref="S45:T45"/>
    <mergeCell ref="S46:T46"/>
    <mergeCell ref="O37:R37"/>
    <mergeCell ref="U44:X44"/>
    <mergeCell ref="S63:T63"/>
    <mergeCell ref="S64:T64"/>
    <mergeCell ref="S55:T55"/>
    <mergeCell ref="S5:T5"/>
    <mergeCell ref="S30:T30"/>
    <mergeCell ref="U30:X30"/>
    <mergeCell ref="U22:X22"/>
    <mergeCell ref="U5:X5"/>
    <mergeCell ref="S6:T6"/>
    <mergeCell ref="U6:X6"/>
    <mergeCell ref="S7:T7"/>
    <mergeCell ref="U29:X29"/>
    <mergeCell ref="S29:T29"/>
    <mergeCell ref="U15:X15"/>
    <mergeCell ref="U21:X21"/>
    <mergeCell ref="U20:X20"/>
    <mergeCell ref="U7:X7"/>
    <mergeCell ref="S13:T13"/>
    <mergeCell ref="U13:X13"/>
    <mergeCell ref="S14:T14"/>
    <mergeCell ref="U14:X14"/>
    <mergeCell ref="S15:T15"/>
    <mergeCell ref="S20:T20"/>
    <mergeCell ref="S21:T21"/>
    <mergeCell ref="U118:X118"/>
    <mergeCell ref="S117:T117"/>
    <mergeCell ref="O117:R117"/>
    <mergeCell ref="M117:N117"/>
    <mergeCell ref="U110:X110"/>
    <mergeCell ref="S110:T110"/>
    <mergeCell ref="U104:X104"/>
    <mergeCell ref="S118:T118"/>
    <mergeCell ref="S103:T103"/>
    <mergeCell ref="U117:X117"/>
    <mergeCell ref="U103:X103"/>
    <mergeCell ref="M116:N116"/>
    <mergeCell ref="O118:R118"/>
    <mergeCell ref="M118:N118"/>
    <mergeCell ref="S104:T104"/>
    <mergeCell ref="U111:X111"/>
    <mergeCell ref="M111:N111"/>
    <mergeCell ref="U116:X116"/>
    <mergeCell ref="S116:T116"/>
    <mergeCell ref="O116:R116"/>
    <mergeCell ref="C117:F117"/>
    <mergeCell ref="S87:T87"/>
    <mergeCell ref="A63:B63"/>
    <mergeCell ref="C63:F63"/>
    <mergeCell ref="G63:H63"/>
    <mergeCell ref="I63:L63"/>
    <mergeCell ref="A87:B87"/>
    <mergeCell ref="C87:F87"/>
    <mergeCell ref="G87:H87"/>
    <mergeCell ref="I87:L87"/>
    <mergeCell ref="A86:B86"/>
    <mergeCell ref="C86:F86"/>
    <mergeCell ref="S95:T95"/>
    <mergeCell ref="M63:N63"/>
    <mergeCell ref="S72:T72"/>
    <mergeCell ref="S81:T81"/>
    <mergeCell ref="S79:T79"/>
    <mergeCell ref="O80:R80"/>
    <mergeCell ref="A70:B70"/>
    <mergeCell ref="A64:B64"/>
    <mergeCell ref="C64:F64"/>
    <mergeCell ref="O81:R81"/>
    <mergeCell ref="S88:T88"/>
    <mergeCell ref="S93:T93"/>
    <mergeCell ref="I118:L118"/>
    <mergeCell ref="G118:H118"/>
    <mergeCell ref="I110:L110"/>
    <mergeCell ref="M38:N38"/>
    <mergeCell ref="M37:N37"/>
    <mergeCell ref="M44:N44"/>
    <mergeCell ref="M46:N46"/>
    <mergeCell ref="M45:N45"/>
    <mergeCell ref="M55:N55"/>
    <mergeCell ref="G86:H86"/>
    <mergeCell ref="I86:L86"/>
    <mergeCell ref="G79:H79"/>
    <mergeCell ref="I79:L79"/>
    <mergeCell ref="G116:H116"/>
    <mergeCell ref="G55:H55"/>
    <mergeCell ref="I55:L55"/>
    <mergeCell ref="G45:H45"/>
    <mergeCell ref="I45:L45"/>
    <mergeCell ref="M53:N53"/>
    <mergeCell ref="G64:H64"/>
    <mergeCell ref="G54:H54"/>
    <mergeCell ref="M103:N103"/>
    <mergeCell ref="I116:L116"/>
    <mergeCell ref="G117:H117"/>
    <mergeCell ref="G104:H104"/>
    <mergeCell ref="C110:F110"/>
    <mergeCell ref="C102:F102"/>
    <mergeCell ref="C104:F104"/>
    <mergeCell ref="G110:H110"/>
    <mergeCell ref="G109:H109"/>
    <mergeCell ref="M87:N87"/>
    <mergeCell ref="M86:N86"/>
    <mergeCell ref="O95:R95"/>
    <mergeCell ref="O86:R86"/>
    <mergeCell ref="O87:R87"/>
    <mergeCell ref="C88:F88"/>
    <mergeCell ref="G88:H88"/>
    <mergeCell ref="I88:L88"/>
    <mergeCell ref="M88:N88"/>
    <mergeCell ref="S102:T102"/>
    <mergeCell ref="U102:X102"/>
    <mergeCell ref="S94:T94"/>
    <mergeCell ref="S111:T111"/>
    <mergeCell ref="O111:R111"/>
    <mergeCell ref="U81:X81"/>
    <mergeCell ref="I111:L111"/>
    <mergeCell ref="S109:T109"/>
    <mergeCell ref="O109:R109"/>
    <mergeCell ref="M109:N109"/>
    <mergeCell ref="C38:F38"/>
    <mergeCell ref="G38:H38"/>
    <mergeCell ref="I38:L38"/>
    <mergeCell ref="U79:X79"/>
    <mergeCell ref="U63:X63"/>
    <mergeCell ref="U70:X70"/>
    <mergeCell ref="U72:X72"/>
    <mergeCell ref="U64:X64"/>
    <mergeCell ref="U71:X71"/>
    <mergeCell ref="C55:F55"/>
    <mergeCell ref="C45:F45"/>
    <mergeCell ref="O39:R39"/>
    <mergeCell ref="O44:R44"/>
    <mergeCell ref="U54:X54"/>
    <mergeCell ref="C46:F46"/>
    <mergeCell ref="C54:F54"/>
    <mergeCell ref="C71:F71"/>
    <mergeCell ref="G71:H71"/>
    <mergeCell ref="O65:R65"/>
    <mergeCell ref="S53:T53"/>
    <mergeCell ref="U53:X53"/>
    <mergeCell ref="O55:R55"/>
    <mergeCell ref="O63:R63"/>
    <mergeCell ref="S54:T54"/>
    <mergeCell ref="A46:B46"/>
    <mergeCell ref="A117:B117"/>
    <mergeCell ref="A54:B54"/>
    <mergeCell ref="A71:B71"/>
    <mergeCell ref="U109:X109"/>
    <mergeCell ref="O110:R110"/>
    <mergeCell ref="M110:N110"/>
    <mergeCell ref="C109:F109"/>
    <mergeCell ref="M70:N70"/>
    <mergeCell ref="U55:X55"/>
    <mergeCell ref="O104:R104"/>
    <mergeCell ref="M104:N104"/>
    <mergeCell ref="I104:L104"/>
    <mergeCell ref="I109:L109"/>
    <mergeCell ref="I102:L102"/>
    <mergeCell ref="G102:H102"/>
    <mergeCell ref="I103:L103"/>
    <mergeCell ref="G103:H103"/>
    <mergeCell ref="C103:F103"/>
    <mergeCell ref="U87:X87"/>
    <mergeCell ref="S86:T86"/>
    <mergeCell ref="U86:X86"/>
    <mergeCell ref="A102:B102"/>
    <mergeCell ref="U95:X95"/>
    <mergeCell ref="A103:B103"/>
    <mergeCell ref="O103:R103"/>
    <mergeCell ref="O102:R102"/>
    <mergeCell ref="M102:N102"/>
    <mergeCell ref="A31:B31"/>
    <mergeCell ref="A118:B118"/>
    <mergeCell ref="I117:L117"/>
    <mergeCell ref="G111:H111"/>
    <mergeCell ref="I70:L70"/>
    <mergeCell ref="A104:B104"/>
    <mergeCell ref="A109:B109"/>
    <mergeCell ref="A110:B110"/>
    <mergeCell ref="A111:B111"/>
    <mergeCell ref="C118:F118"/>
    <mergeCell ref="A53:B53"/>
    <mergeCell ref="C53:F53"/>
    <mergeCell ref="G53:H53"/>
    <mergeCell ref="A38:B38"/>
    <mergeCell ref="A79:B79"/>
    <mergeCell ref="A72:B72"/>
    <mergeCell ref="C116:F116"/>
    <mergeCell ref="A116:B116"/>
    <mergeCell ref="C111:F111"/>
    <mergeCell ref="A45:B45"/>
  </mergeCells>
  <phoneticPr fontId="25"/>
  <pageMargins left="0.43307086614173229" right="3.937007874015748E-2" top="0.15748031496062992" bottom="0" header="0.31496062992125984" footer="0.31496062992125984"/>
  <pageSetup paperSize="9" scale="68" orientation="portrait" horizontalDpi="300" verticalDpi="300" r:id="rId1"/>
  <rowBreaks count="1" manualBreakCount="1">
    <brk id="61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R48"/>
  <sheetViews>
    <sheetView topLeftCell="A10" workbookViewId="0">
      <selection activeCell="M18" sqref="M18"/>
    </sheetView>
  </sheetViews>
  <sheetFormatPr defaultColWidth="9" defaultRowHeight="18.75" x14ac:dyDescent="0.4"/>
  <cols>
    <col min="1" max="1" width="6.125" style="46" customWidth="1"/>
    <col min="2" max="19" width="6.125" customWidth="1"/>
    <col min="20" max="44" width="4.625" customWidth="1"/>
  </cols>
  <sheetData>
    <row r="1" spans="1:44" x14ac:dyDescent="0.4">
      <c r="A1" s="283"/>
      <c r="B1" s="284">
        <v>1</v>
      </c>
      <c r="C1" s="285">
        <v>2</v>
      </c>
      <c r="D1" s="285">
        <v>3</v>
      </c>
      <c r="E1" s="285">
        <v>4</v>
      </c>
      <c r="F1" s="285">
        <v>5</v>
      </c>
      <c r="G1" s="285">
        <v>6</v>
      </c>
      <c r="H1" s="285">
        <v>7</v>
      </c>
      <c r="I1" s="285">
        <v>8</v>
      </c>
      <c r="J1" s="285">
        <v>9</v>
      </c>
      <c r="K1" s="286">
        <v>10</v>
      </c>
      <c r="M1" t="s">
        <v>406</v>
      </c>
      <c r="S1" s="42"/>
      <c r="T1" s="47">
        <v>1</v>
      </c>
      <c r="U1" s="48">
        <v>2</v>
      </c>
      <c r="V1" s="48">
        <v>3</v>
      </c>
      <c r="W1" s="48">
        <v>4</v>
      </c>
      <c r="X1" s="48">
        <v>5</v>
      </c>
      <c r="Y1" s="48">
        <v>6</v>
      </c>
      <c r="Z1" s="48">
        <v>7</v>
      </c>
      <c r="AA1" s="48">
        <v>8</v>
      </c>
      <c r="AB1" s="49">
        <v>9</v>
      </c>
      <c r="AD1" t="s">
        <v>406</v>
      </c>
      <c r="AI1" s="42"/>
      <c r="AJ1" s="47">
        <v>1</v>
      </c>
      <c r="AK1" s="48">
        <v>2</v>
      </c>
      <c r="AL1" s="48">
        <v>3</v>
      </c>
      <c r="AM1" s="48">
        <v>4</v>
      </c>
      <c r="AN1" s="48">
        <v>5</v>
      </c>
      <c r="AO1" s="48">
        <v>6</v>
      </c>
      <c r="AP1" s="48">
        <v>7</v>
      </c>
      <c r="AQ1" s="48">
        <v>8</v>
      </c>
      <c r="AR1" s="49">
        <v>9</v>
      </c>
    </row>
    <row r="2" spans="1:44" x14ac:dyDescent="0.4">
      <c r="A2" s="287">
        <v>1</v>
      </c>
      <c r="B2" s="37"/>
      <c r="C2" s="114" t="s">
        <v>312</v>
      </c>
      <c r="D2" s="39" t="s">
        <v>312</v>
      </c>
      <c r="E2" s="50" t="s">
        <v>315</v>
      </c>
      <c r="F2" s="268" t="s">
        <v>323</v>
      </c>
      <c r="G2" s="269" t="s">
        <v>321</v>
      </c>
      <c r="H2" s="270" t="s">
        <v>387</v>
      </c>
      <c r="I2" s="269" t="s">
        <v>316</v>
      </c>
      <c r="J2" s="269" t="s">
        <v>326</v>
      </c>
      <c r="K2" s="288" t="s">
        <v>321</v>
      </c>
      <c r="M2" s="282">
        <f t="shared" ref="M2:M11" si="0">COUNTA(B2:K2)</f>
        <v>9</v>
      </c>
      <c r="S2" s="43">
        <v>1</v>
      </c>
      <c r="T2" s="37"/>
      <c r="U2" s="325" t="s">
        <v>388</v>
      </c>
      <c r="V2" s="325" t="s">
        <v>388</v>
      </c>
      <c r="W2" s="325" t="s">
        <v>391</v>
      </c>
      <c r="X2" s="325" t="s">
        <v>394</v>
      </c>
      <c r="Y2" s="325" t="s">
        <v>397</v>
      </c>
      <c r="Z2" s="325" t="s">
        <v>391</v>
      </c>
      <c r="AA2" s="325" t="s">
        <v>397</v>
      </c>
      <c r="AB2" s="326" t="s">
        <v>394</v>
      </c>
      <c r="AD2" s="282">
        <f>COUNTA(T2:AB2)</f>
        <v>8</v>
      </c>
      <c r="AG2" s="82" t="s">
        <v>261</v>
      </c>
      <c r="AH2" s="82" t="s">
        <v>264</v>
      </c>
      <c r="AI2" s="43">
        <v>1</v>
      </c>
      <c r="AJ2" s="37"/>
      <c r="AK2" s="325" t="s">
        <v>388</v>
      </c>
      <c r="AL2" s="325" t="s">
        <v>388</v>
      </c>
      <c r="AM2" s="325">
        <v>2</v>
      </c>
      <c r="AN2" s="325">
        <v>3</v>
      </c>
      <c r="AO2" s="325">
        <v>4</v>
      </c>
      <c r="AP2" s="325">
        <v>2</v>
      </c>
      <c r="AQ2" s="325">
        <v>4</v>
      </c>
      <c r="AR2" s="326">
        <v>3</v>
      </c>
    </row>
    <row r="3" spans="1:44" x14ac:dyDescent="0.4">
      <c r="A3" s="289">
        <v>2</v>
      </c>
      <c r="B3" s="58" t="str">
        <f>IF(C$2="","",$C$2)</f>
        <v>1a</v>
      </c>
      <c r="C3" s="54"/>
      <c r="D3" s="52" t="s">
        <v>319</v>
      </c>
      <c r="E3" s="51" t="s">
        <v>312</v>
      </c>
      <c r="F3" s="51" t="s">
        <v>320</v>
      </c>
      <c r="G3" s="272" t="s">
        <v>317</v>
      </c>
      <c r="H3" s="272" t="s">
        <v>328</v>
      </c>
      <c r="I3" s="272" t="s">
        <v>328</v>
      </c>
      <c r="J3" s="272" t="s">
        <v>317</v>
      </c>
      <c r="K3" s="290" t="s">
        <v>325</v>
      </c>
      <c r="M3" s="282">
        <f t="shared" si="0"/>
        <v>9</v>
      </c>
      <c r="S3" s="44">
        <v>2</v>
      </c>
      <c r="T3" s="36" t="str">
        <f>IF(U$2="","",$U$2)</f>
        <v>1a</v>
      </c>
      <c r="U3" s="327"/>
      <c r="V3" s="328" t="s">
        <v>388</v>
      </c>
      <c r="W3" s="328" t="s">
        <v>398</v>
      </c>
      <c r="X3" s="328" t="s">
        <v>392</v>
      </c>
      <c r="Y3" s="329" t="s">
        <v>395</v>
      </c>
      <c r="Z3" s="329" t="s">
        <v>395</v>
      </c>
      <c r="AA3" s="328" t="s">
        <v>392</v>
      </c>
      <c r="AB3" s="330" t="s">
        <v>398</v>
      </c>
      <c r="AD3" s="282">
        <f t="shared" ref="AD3:AD10" si="1">COUNTA(T3:AB3)</f>
        <v>8</v>
      </c>
      <c r="AG3" s="82" t="s">
        <v>262</v>
      </c>
      <c r="AH3" s="82" t="s">
        <v>265</v>
      </c>
      <c r="AI3" s="44">
        <v>2</v>
      </c>
      <c r="AJ3" s="36" t="str">
        <f>IF(AK$2="","",$U$2)</f>
        <v>1a</v>
      </c>
      <c r="AK3" s="327"/>
      <c r="AL3" s="328" t="s">
        <v>388</v>
      </c>
      <c r="AM3" s="328">
        <v>4</v>
      </c>
      <c r="AN3" s="328">
        <v>2</v>
      </c>
      <c r="AO3" s="329">
        <v>3</v>
      </c>
      <c r="AP3" s="329">
        <v>3</v>
      </c>
      <c r="AQ3" s="328">
        <v>2</v>
      </c>
      <c r="AR3" s="330">
        <v>4</v>
      </c>
    </row>
    <row r="4" spans="1:44" x14ac:dyDescent="0.4">
      <c r="A4" s="291">
        <v>3</v>
      </c>
      <c r="B4" s="36" t="str">
        <f>IF(D2="","",D2)</f>
        <v>1a</v>
      </c>
      <c r="C4" s="36" t="str">
        <f>IF(D3="","",D3)</f>
        <v>3a</v>
      </c>
      <c r="D4" s="38"/>
      <c r="E4" s="51" t="s">
        <v>312</v>
      </c>
      <c r="F4" s="52" t="s">
        <v>327</v>
      </c>
      <c r="G4" s="271" t="s">
        <v>324</v>
      </c>
      <c r="H4" s="272" t="s">
        <v>318</v>
      </c>
      <c r="I4" s="271" t="s">
        <v>324</v>
      </c>
      <c r="J4" s="272" t="s">
        <v>319</v>
      </c>
      <c r="K4" s="292" t="s">
        <v>318</v>
      </c>
      <c r="M4" s="282">
        <f t="shared" si="0"/>
        <v>9</v>
      </c>
      <c r="S4" s="44">
        <v>3</v>
      </c>
      <c r="T4" s="36" t="str">
        <f>IF(V2="","",V2)</f>
        <v>1a</v>
      </c>
      <c r="U4" s="331" t="str">
        <f>IF(V3="","",V3)</f>
        <v>1a</v>
      </c>
      <c r="V4" s="332"/>
      <c r="W4" s="328" t="s">
        <v>396</v>
      </c>
      <c r="X4" s="329" t="s">
        <v>399</v>
      </c>
      <c r="Y4" s="272" t="s">
        <v>393</v>
      </c>
      <c r="Z4" s="272" t="s">
        <v>399</v>
      </c>
      <c r="AA4" s="272" t="s">
        <v>396</v>
      </c>
      <c r="AB4" s="273" t="s">
        <v>393</v>
      </c>
      <c r="AD4" s="282">
        <f t="shared" si="1"/>
        <v>8</v>
      </c>
      <c r="AG4" s="82" t="s">
        <v>263</v>
      </c>
      <c r="AI4" s="44">
        <v>3</v>
      </c>
      <c r="AJ4" s="36" t="str">
        <f>IF(AL2="","",AL2)</f>
        <v>1a</v>
      </c>
      <c r="AK4" s="331" t="str">
        <f>IF(AL3="","",AL3)</f>
        <v>1a</v>
      </c>
      <c r="AL4" s="332"/>
      <c r="AM4" s="328">
        <v>3</v>
      </c>
      <c r="AN4" s="329">
        <v>4</v>
      </c>
      <c r="AO4" s="53">
        <v>2</v>
      </c>
      <c r="AP4" s="53">
        <v>4</v>
      </c>
      <c r="AQ4" s="329">
        <v>3</v>
      </c>
      <c r="AR4" s="86">
        <v>2</v>
      </c>
    </row>
    <row r="5" spans="1:44" x14ac:dyDescent="0.4">
      <c r="A5" s="289">
        <v>4</v>
      </c>
      <c r="B5" s="58" t="str">
        <f>IF(E2="","",E2)</f>
        <v>2a</v>
      </c>
      <c r="C5" s="58" t="str">
        <f>IF(E3="","",E3)</f>
        <v>1a</v>
      </c>
      <c r="D5" s="58" t="str">
        <f>IF(E4="","",E4)</f>
        <v>1a</v>
      </c>
      <c r="E5" s="54"/>
      <c r="F5" s="52" t="s">
        <v>316</v>
      </c>
      <c r="G5" s="272" t="s">
        <v>326</v>
      </c>
      <c r="H5" s="272" t="s">
        <v>322</v>
      </c>
      <c r="I5" s="272" t="s">
        <v>322</v>
      </c>
      <c r="J5" s="272" t="s">
        <v>326</v>
      </c>
      <c r="K5" s="290" t="s">
        <v>325</v>
      </c>
      <c r="M5" s="282">
        <f t="shared" si="0"/>
        <v>9</v>
      </c>
      <c r="S5" s="44">
        <v>4</v>
      </c>
      <c r="T5" s="36" t="str">
        <f>IF(W2="","",W2)</f>
        <v>2a</v>
      </c>
      <c r="U5" s="331" t="str">
        <f>IF(W3="","",W3)</f>
        <v>4b</v>
      </c>
      <c r="V5" s="331" t="str">
        <f>IF(W4="","",W4)</f>
        <v>3c</v>
      </c>
      <c r="W5" s="332"/>
      <c r="X5" s="329" t="s">
        <v>389</v>
      </c>
      <c r="Y5" s="272" t="s">
        <v>389</v>
      </c>
      <c r="Z5" s="272" t="s">
        <v>391</v>
      </c>
      <c r="AA5" s="272" t="s">
        <v>396</v>
      </c>
      <c r="AB5" s="273" t="s">
        <v>398</v>
      </c>
      <c r="AD5" s="282">
        <f t="shared" si="1"/>
        <v>8</v>
      </c>
      <c r="AI5" s="44">
        <v>4</v>
      </c>
      <c r="AJ5" s="36">
        <f>IF(AM2="","",AM2)</f>
        <v>2</v>
      </c>
      <c r="AK5" s="331">
        <f>IF(AM3="","",AM3)</f>
        <v>4</v>
      </c>
      <c r="AL5" s="331">
        <f>IF(AM4="","",AM4)</f>
        <v>3</v>
      </c>
      <c r="AM5" s="332"/>
      <c r="AN5" s="329">
        <v>5</v>
      </c>
      <c r="AO5" s="329">
        <v>5</v>
      </c>
      <c r="AP5" s="55">
        <v>2</v>
      </c>
      <c r="AQ5" s="329">
        <v>3</v>
      </c>
      <c r="AR5" s="333">
        <v>4</v>
      </c>
    </row>
    <row r="6" spans="1:44" x14ac:dyDescent="0.4">
      <c r="A6" s="291">
        <v>5</v>
      </c>
      <c r="B6" s="36" t="str">
        <f>IF(F2="","",F2)</f>
        <v>4a</v>
      </c>
      <c r="C6" s="36" t="str">
        <f>IF(F3="","",F3)</f>
        <v>3a</v>
      </c>
      <c r="D6" s="36" t="str">
        <f>IF(F4="","",F4)</f>
        <v>5b</v>
      </c>
      <c r="E6" s="36" t="str">
        <f>IF(F5="","",F5)</f>
        <v>2a</v>
      </c>
      <c r="F6" s="38"/>
      <c r="G6" s="274" t="s">
        <v>313</v>
      </c>
      <c r="H6" s="274" t="s">
        <v>313</v>
      </c>
      <c r="I6" s="272" t="s">
        <v>316</v>
      </c>
      <c r="J6" s="274" t="s">
        <v>319</v>
      </c>
      <c r="K6" s="293" t="s">
        <v>327</v>
      </c>
      <c r="M6" s="282">
        <f t="shared" si="0"/>
        <v>9</v>
      </c>
      <c r="S6" s="44">
        <v>5</v>
      </c>
      <c r="T6" s="36" t="str">
        <f>IF(X2="","",X2)</f>
        <v>3a</v>
      </c>
      <c r="U6" s="331" t="str">
        <f>IF(X3="","",X3)</f>
        <v>2b</v>
      </c>
      <c r="V6" s="331" t="str">
        <f>IF(X4="","",X4)</f>
        <v>4c</v>
      </c>
      <c r="W6" s="331" t="str">
        <f>IF(X5="","",X5)</f>
        <v>1b</v>
      </c>
      <c r="X6" s="332"/>
      <c r="Y6" s="272" t="s">
        <v>389</v>
      </c>
      <c r="Z6" s="272" t="s">
        <v>399</v>
      </c>
      <c r="AA6" s="272" t="s">
        <v>392</v>
      </c>
      <c r="AB6" s="273" t="s">
        <v>394</v>
      </c>
      <c r="AD6" s="282">
        <f t="shared" si="1"/>
        <v>8</v>
      </c>
      <c r="AI6" s="44">
        <v>5</v>
      </c>
      <c r="AJ6" s="36">
        <f>IF(AN2="","",AN2)</f>
        <v>3</v>
      </c>
      <c r="AK6" s="331">
        <f>IF(AN3="","",AN3)</f>
        <v>2</v>
      </c>
      <c r="AL6" s="331">
        <f>IF(AN4="","",AN4)</f>
        <v>4</v>
      </c>
      <c r="AM6" s="331">
        <f>IF(AN5="","",AN5)</f>
        <v>5</v>
      </c>
      <c r="AN6" s="332"/>
      <c r="AO6" s="57">
        <v>1</v>
      </c>
      <c r="AP6" s="53">
        <v>4</v>
      </c>
      <c r="AQ6" s="334">
        <v>1</v>
      </c>
      <c r="AR6" s="330">
        <v>3</v>
      </c>
    </row>
    <row r="7" spans="1:44" x14ac:dyDescent="0.4">
      <c r="A7" s="289">
        <v>6</v>
      </c>
      <c r="B7" s="58" t="str">
        <f>IF(G2="","",G2)</f>
        <v>3b</v>
      </c>
      <c r="C7" s="58" t="str">
        <f>IF(G3="","",G3)</f>
        <v>2b</v>
      </c>
      <c r="D7" s="58" t="str">
        <f>IF(G4="","",G4)</f>
        <v>4b</v>
      </c>
      <c r="E7" s="58" t="str">
        <f>IF(G5="","",G5)</f>
        <v>5a</v>
      </c>
      <c r="F7" s="58" t="str">
        <f>IF(G6="","",G6)</f>
        <v>1b</v>
      </c>
      <c r="G7" s="281"/>
      <c r="H7" s="272" t="s">
        <v>313</v>
      </c>
      <c r="I7" s="271" t="s">
        <v>324</v>
      </c>
      <c r="J7" s="272" t="s">
        <v>317</v>
      </c>
      <c r="K7" s="292" t="s">
        <v>321</v>
      </c>
      <c r="M7" s="282">
        <f t="shared" si="0"/>
        <v>9</v>
      </c>
      <c r="S7" s="44">
        <v>6</v>
      </c>
      <c r="T7" s="36" t="str">
        <f>IF(Y2="","",Y2)</f>
        <v>4a</v>
      </c>
      <c r="U7" s="331" t="str">
        <f>IF(Y3="","",Y3)</f>
        <v>3b</v>
      </c>
      <c r="V7" s="331" t="str">
        <f>IF(Y4="","",Y4)</f>
        <v>2c</v>
      </c>
      <c r="W7" s="331" t="str">
        <f>IF(Y5="","",Y5)</f>
        <v>1b</v>
      </c>
      <c r="X7" s="331" t="str">
        <f>IF(Y6="","",Y6)</f>
        <v>1b</v>
      </c>
      <c r="Y7" s="281"/>
      <c r="Z7" s="272" t="s">
        <v>395</v>
      </c>
      <c r="AA7" s="272" t="s">
        <v>397</v>
      </c>
      <c r="AB7" s="273" t="s">
        <v>393</v>
      </c>
      <c r="AD7" s="282">
        <f t="shared" si="1"/>
        <v>8</v>
      </c>
      <c r="AI7" s="44">
        <v>6</v>
      </c>
      <c r="AJ7" s="36">
        <f>IF(AO2="","",AO2)</f>
        <v>4</v>
      </c>
      <c r="AK7" s="331">
        <f>IF(AO3="","",AO3)</f>
        <v>3</v>
      </c>
      <c r="AL7" s="331">
        <f>IF(AO4="","",AO4)</f>
        <v>2</v>
      </c>
      <c r="AM7" s="331">
        <f>IF(AO5="","",AO5)</f>
        <v>5</v>
      </c>
      <c r="AN7" s="331">
        <f>IF(AO6="","",AO6)</f>
        <v>1</v>
      </c>
      <c r="AO7" s="332"/>
      <c r="AP7" s="53">
        <v>3</v>
      </c>
      <c r="AQ7" s="329">
        <v>4</v>
      </c>
      <c r="AR7" s="87">
        <v>1</v>
      </c>
    </row>
    <row r="8" spans="1:44" x14ac:dyDescent="0.4">
      <c r="A8" s="291">
        <v>7</v>
      </c>
      <c r="B8" s="36" t="str">
        <f>IF(H2="","",H2)</f>
        <v>4a</v>
      </c>
      <c r="C8" s="36" t="str">
        <f>IF(H3="","",H3)</f>
        <v>5c</v>
      </c>
      <c r="D8" s="36" t="str">
        <f>IF(H4="","",H4)</f>
        <v>2c</v>
      </c>
      <c r="E8" s="36" t="str">
        <f>IF(H5="","",H5)</f>
        <v>3c</v>
      </c>
      <c r="F8" s="36" t="str">
        <f>IF(H6="","",H6)</f>
        <v>1b</v>
      </c>
      <c r="G8" s="275" t="str">
        <f>IF(H7="","",H7)</f>
        <v>1b</v>
      </c>
      <c r="H8" s="276"/>
      <c r="I8" s="274" t="s">
        <v>322</v>
      </c>
      <c r="J8" s="277" t="s">
        <v>387</v>
      </c>
      <c r="K8" s="293" t="s">
        <v>318</v>
      </c>
      <c r="M8" s="282">
        <f t="shared" si="0"/>
        <v>9</v>
      </c>
      <c r="S8" s="44">
        <v>7</v>
      </c>
      <c r="T8" s="36" t="str">
        <f>IF(Z2="","",Z2)</f>
        <v>2a</v>
      </c>
      <c r="U8" s="331" t="str">
        <f>IF(Z3="","",Z3)</f>
        <v>3b</v>
      </c>
      <c r="V8" s="331" t="str">
        <f>IF(Z4="","",Z4)</f>
        <v>4c</v>
      </c>
      <c r="W8" s="331" t="str">
        <f>IF(Z5="","",Z5)</f>
        <v>2a</v>
      </c>
      <c r="X8" s="331" t="str">
        <f>IF(Z6="","",Z6)</f>
        <v>4c</v>
      </c>
      <c r="Y8" s="340" t="str">
        <f>IF(Z7="","",Z7)</f>
        <v>3b</v>
      </c>
      <c r="Z8" s="281"/>
      <c r="AA8" s="272" t="s">
        <v>390</v>
      </c>
      <c r="AB8" s="273" t="s">
        <v>390</v>
      </c>
      <c r="AD8" s="282">
        <f t="shared" si="1"/>
        <v>8</v>
      </c>
      <c r="AI8" s="44">
        <v>7</v>
      </c>
      <c r="AJ8" s="36">
        <f>IF(AP2="","",AP2)</f>
        <v>2</v>
      </c>
      <c r="AK8" s="331">
        <f>IF(AP3="","",AP3)</f>
        <v>3</v>
      </c>
      <c r="AL8" s="331">
        <f>IF(AP4="","",AP4)</f>
        <v>4</v>
      </c>
      <c r="AM8" s="331">
        <f>IF(AP5="","",AP5)</f>
        <v>2</v>
      </c>
      <c r="AN8" s="331">
        <f>IF(AP6="","",AP6)</f>
        <v>4</v>
      </c>
      <c r="AO8" s="331">
        <f>IF(AP7="","",AP7)</f>
        <v>3</v>
      </c>
      <c r="AP8" s="332"/>
      <c r="AQ8" s="335">
        <v>1</v>
      </c>
      <c r="AR8" s="336">
        <v>1</v>
      </c>
    </row>
    <row r="9" spans="1:44" x14ac:dyDescent="0.4">
      <c r="A9" s="289">
        <v>8</v>
      </c>
      <c r="B9" s="58" t="str">
        <f>IF(I2="","",I2)</f>
        <v>2a</v>
      </c>
      <c r="C9" s="58" t="str">
        <f>IF(I3="","",I3)</f>
        <v>5c</v>
      </c>
      <c r="D9" s="58" t="str">
        <f>IF(I4="","",I4)</f>
        <v>4b</v>
      </c>
      <c r="E9" s="58" t="str">
        <f>IF(I5="","",I5)</f>
        <v>3c</v>
      </c>
      <c r="F9" s="58" t="str">
        <f>IF(I6="","",I6)</f>
        <v>2a</v>
      </c>
      <c r="G9" s="58" t="str">
        <f>IF(I7="","",I7)</f>
        <v>4b</v>
      </c>
      <c r="H9" s="58" t="str">
        <f>IF(I8="","",I8)</f>
        <v>3c</v>
      </c>
      <c r="I9" s="54"/>
      <c r="J9" s="55" t="s">
        <v>314</v>
      </c>
      <c r="K9" s="294" t="s">
        <v>314</v>
      </c>
      <c r="M9" s="282">
        <f t="shared" si="0"/>
        <v>9</v>
      </c>
      <c r="S9" s="44">
        <v>8</v>
      </c>
      <c r="T9" s="36" t="str">
        <f>IF(AA2="","",AA2)</f>
        <v>4a</v>
      </c>
      <c r="U9" s="331" t="str">
        <f>IF(AA3="","",AA3)</f>
        <v>2b</v>
      </c>
      <c r="V9" s="331" t="str">
        <f>IF(AA4="","",AA4)</f>
        <v>3c</v>
      </c>
      <c r="W9" s="331" t="str">
        <f>IF(AA5="","",AA5)</f>
        <v>3c</v>
      </c>
      <c r="X9" s="331" t="str">
        <f>IF(AA6="","",AA6)</f>
        <v>2b</v>
      </c>
      <c r="Y9" s="340" t="str">
        <f>IF(AA7="","",AA7)</f>
        <v>4a</v>
      </c>
      <c r="Z9" s="340" t="str">
        <f>IF(AA8="","",AA8)</f>
        <v>1c</v>
      </c>
      <c r="AA9" s="281"/>
      <c r="AB9" s="273" t="s">
        <v>390</v>
      </c>
      <c r="AD9" s="282">
        <f t="shared" si="1"/>
        <v>8</v>
      </c>
      <c r="AI9" s="44">
        <v>8</v>
      </c>
      <c r="AJ9" s="36">
        <f>IF(AQ2="","",AQ2)</f>
        <v>4</v>
      </c>
      <c r="AK9" s="331">
        <f>IF(AQ3="","",AQ3)</f>
        <v>2</v>
      </c>
      <c r="AL9" s="331">
        <f>IF(AQ4="","",AQ4)</f>
        <v>3</v>
      </c>
      <c r="AM9" s="331">
        <f>IF(AQ5="","",AQ5)</f>
        <v>3</v>
      </c>
      <c r="AN9" s="331">
        <f>IF(AQ6="","",AQ6)</f>
        <v>1</v>
      </c>
      <c r="AO9" s="331">
        <f>IF(AQ7="","",AQ7)</f>
        <v>4</v>
      </c>
      <c r="AP9" s="331">
        <f>IF(AQ8="","",AQ8)</f>
        <v>1</v>
      </c>
      <c r="AQ9" s="332"/>
      <c r="AR9" s="56"/>
    </row>
    <row r="10" spans="1:44" x14ac:dyDescent="0.4">
      <c r="A10" s="291">
        <v>9</v>
      </c>
      <c r="B10" s="36" t="str">
        <f>IF(J2="","",J2)</f>
        <v>5a</v>
      </c>
      <c r="C10" s="36" t="str">
        <f>IF(J3="","",J3)</f>
        <v>2b</v>
      </c>
      <c r="D10" s="36" t="str">
        <f>IF(J4="","",J4)</f>
        <v>3a</v>
      </c>
      <c r="E10" s="36" t="str">
        <f>IF(J5="","",J5)</f>
        <v>5a</v>
      </c>
      <c r="F10" s="36" t="str">
        <f>IF(J6="","",J6)</f>
        <v>3a</v>
      </c>
      <c r="G10" s="36" t="str">
        <f>IF(J7="","",J7)</f>
        <v>2b</v>
      </c>
      <c r="H10" s="36" t="str">
        <f>IF(J8="","",J8)</f>
        <v>4a</v>
      </c>
      <c r="I10" s="36" t="str">
        <f>IF(J9="","",J9)</f>
        <v>1c</v>
      </c>
      <c r="J10" s="38"/>
      <c r="K10" s="295" t="s">
        <v>314</v>
      </c>
      <c r="M10" s="282">
        <f t="shared" si="0"/>
        <v>9</v>
      </c>
      <c r="S10" s="45">
        <v>9</v>
      </c>
      <c r="T10" s="88" t="str">
        <f>IF(AB2="","",AB2)</f>
        <v>3a</v>
      </c>
      <c r="U10" s="337" t="str">
        <f>IF(AB3="","",AB3)</f>
        <v>4b</v>
      </c>
      <c r="V10" s="338" t="str">
        <f>IF(AB4="","",AB4)</f>
        <v>2c</v>
      </c>
      <c r="W10" s="338" t="str">
        <f>IF(AB5="","",AB5)</f>
        <v>4b</v>
      </c>
      <c r="X10" s="338" t="str">
        <f>IF(AB6="","",AB6)</f>
        <v>3a</v>
      </c>
      <c r="Y10" s="338" t="str">
        <f>IF(AB7="","",AB7)</f>
        <v>2c</v>
      </c>
      <c r="Z10" s="338" t="str">
        <f>IF(AB8="","",AB8)</f>
        <v>1c</v>
      </c>
      <c r="AA10" s="338" t="str">
        <f>IF(AB9="","",AB9)</f>
        <v>1c</v>
      </c>
      <c r="AB10" s="339"/>
      <c r="AD10" s="282">
        <f t="shared" si="1"/>
        <v>8</v>
      </c>
      <c r="AI10" s="45">
        <v>9</v>
      </c>
      <c r="AJ10" s="88">
        <f>IF(AR2="","",AR2)</f>
        <v>3</v>
      </c>
      <c r="AK10" s="337">
        <f>IF(AR3="","",AR3)</f>
        <v>4</v>
      </c>
      <c r="AL10" s="338">
        <f>IF(AR4="","",AR4)</f>
        <v>2</v>
      </c>
      <c r="AM10" s="338">
        <f>IF(AR5="","",AR5)</f>
        <v>4</v>
      </c>
      <c r="AN10" s="338">
        <f>IF(AR6="","",AR6)</f>
        <v>3</v>
      </c>
      <c r="AO10" s="338">
        <f>IF(AR7="","",AR7)</f>
        <v>1</v>
      </c>
      <c r="AP10" s="338">
        <f>IF(AR8="","",AR8)</f>
        <v>1</v>
      </c>
      <c r="AQ10" s="338" t="str">
        <f>IF(AR9="","",AR9)</f>
        <v/>
      </c>
      <c r="AR10" s="339"/>
    </row>
    <row r="11" spans="1:44" ht="19.5" thickBot="1" x14ac:dyDescent="0.45">
      <c r="A11" s="296">
        <v>10</v>
      </c>
      <c r="B11" s="297" t="str">
        <f>IF(K2="","",K2)</f>
        <v>3b</v>
      </c>
      <c r="C11" s="297" t="str">
        <f>IF(K3="","",K3)</f>
        <v>4c</v>
      </c>
      <c r="D11" s="297" t="str">
        <f>IF(K4="","",K4)</f>
        <v>2c</v>
      </c>
      <c r="E11" s="297" t="str">
        <f>IF(K5="","",K5)</f>
        <v>4c</v>
      </c>
      <c r="F11" s="297" t="str">
        <f>IF(K6="","",K6)</f>
        <v>5b</v>
      </c>
      <c r="G11" s="297" t="str">
        <f>IF(K7="","",K7)</f>
        <v>3b</v>
      </c>
      <c r="H11" s="297" t="str">
        <f>IF(K8="","",K8)</f>
        <v>2c</v>
      </c>
      <c r="I11" s="297" t="str">
        <f>IF(K9="","",K9)</f>
        <v>1c</v>
      </c>
      <c r="J11" s="297" t="str">
        <f>IF(K10="","",K10)</f>
        <v>1c</v>
      </c>
      <c r="K11" s="298"/>
      <c r="M11" s="282">
        <f t="shared" si="0"/>
        <v>9</v>
      </c>
      <c r="AD11" s="282"/>
    </row>
    <row r="12" spans="1:44" ht="19.5" thickBot="1" x14ac:dyDescent="0.45">
      <c r="L12" t="s">
        <v>405</v>
      </c>
      <c r="M12" s="282">
        <f>SUM(M2:M11)</f>
        <v>90</v>
      </c>
      <c r="V12" s="61"/>
      <c r="W12" s="61"/>
      <c r="X12" s="61"/>
      <c r="Y12" s="61"/>
      <c r="Z12" s="61"/>
      <c r="AA12" s="61"/>
      <c r="AB12" s="61"/>
      <c r="AC12" t="s">
        <v>405</v>
      </c>
      <c r="AD12" s="282">
        <f>SUM(AD2:AD11)</f>
        <v>72</v>
      </c>
    </row>
    <row r="13" spans="1:44" ht="12.75" customHeight="1" thickBot="1" x14ac:dyDescent="0.45">
      <c r="T13" s="59"/>
      <c r="U13" s="59"/>
      <c r="V13" s="59"/>
      <c r="W13" s="59"/>
      <c r="X13" s="59"/>
      <c r="Y13" s="308" t="s">
        <v>404</v>
      </c>
      <c r="Z13" s="309"/>
      <c r="AA13" s="59"/>
    </row>
    <row r="14" spans="1:44" ht="12.75" customHeight="1" x14ac:dyDescent="0.4">
      <c r="B14" t="s">
        <v>403</v>
      </c>
      <c r="I14" s="308" t="s">
        <v>404</v>
      </c>
      <c r="J14" s="309"/>
      <c r="R14" t="s">
        <v>460</v>
      </c>
      <c r="X14" s="60"/>
      <c r="Y14" s="299"/>
      <c r="Z14" s="300"/>
      <c r="AA14" s="59"/>
    </row>
    <row r="15" spans="1:44" ht="12.75" customHeight="1" x14ac:dyDescent="0.4">
      <c r="C15" t="s">
        <v>384</v>
      </c>
      <c r="E15" t="s">
        <v>385</v>
      </c>
      <c r="G15" t="s">
        <v>386</v>
      </c>
      <c r="I15" s="299"/>
      <c r="J15" s="300"/>
      <c r="X15" s="60"/>
      <c r="Y15" s="312" t="str">
        <f>R16</f>
        <v>第１節</v>
      </c>
      <c r="Z15" s="313"/>
      <c r="AA15" s="59"/>
    </row>
    <row r="16" spans="1:44" ht="12.75" customHeight="1" x14ac:dyDescent="0.4">
      <c r="B16" t="s">
        <v>379</v>
      </c>
      <c r="C16">
        <v>1234</v>
      </c>
      <c r="E16">
        <v>567</v>
      </c>
      <c r="G16">
        <v>890</v>
      </c>
      <c r="I16" s="312" t="str">
        <f>B16</f>
        <v>第１節</v>
      </c>
      <c r="J16" s="313"/>
      <c r="R16" t="s">
        <v>379</v>
      </c>
      <c r="S16" s="321">
        <v>123</v>
      </c>
      <c r="T16" s="322"/>
      <c r="U16" s="323" t="s">
        <v>131</v>
      </c>
      <c r="V16" s="323"/>
      <c r="W16" s="323" t="s">
        <v>414</v>
      </c>
      <c r="X16" s="60"/>
      <c r="Y16" s="305" t="s">
        <v>388</v>
      </c>
      <c r="Z16" s="306">
        <f>COUNTIFS($T$2:$AB$11,Y16)/2</f>
        <v>3</v>
      </c>
      <c r="AA16" s="59"/>
    </row>
    <row r="17" spans="2:27" ht="12.75" customHeight="1" x14ac:dyDescent="0.4">
      <c r="C17" s="41" t="s">
        <v>96</v>
      </c>
      <c r="E17" s="40" t="s">
        <v>90</v>
      </c>
      <c r="G17" s="41" t="s">
        <v>93</v>
      </c>
      <c r="I17" s="305" t="s">
        <v>388</v>
      </c>
      <c r="J17" s="306">
        <f>COUNTIFS($B$2:$K$11,I17)/2</f>
        <v>4</v>
      </c>
      <c r="S17" s="320" t="s">
        <v>408</v>
      </c>
      <c r="T17" s="60"/>
      <c r="U17" s="59" t="s">
        <v>411</v>
      </c>
      <c r="V17" s="60"/>
      <c r="W17" s="59" t="s">
        <v>415</v>
      </c>
      <c r="X17" s="59"/>
      <c r="Y17" s="303" t="s">
        <v>389</v>
      </c>
      <c r="Z17" s="304">
        <f>COUNTIFS($T$2:$AB$11,Y17)/2</f>
        <v>3</v>
      </c>
      <c r="AA17" s="59"/>
    </row>
    <row r="18" spans="2:27" ht="12.75" customHeight="1" x14ac:dyDescent="0.4">
      <c r="C18" s="41" t="s">
        <v>97</v>
      </c>
      <c r="E18" s="41" t="s">
        <v>91</v>
      </c>
      <c r="G18" s="41" t="s">
        <v>94</v>
      </c>
      <c r="I18" s="303" t="s">
        <v>389</v>
      </c>
      <c r="J18" s="304">
        <f>COUNTIFS($B$2:$K$11,I18)/2</f>
        <v>3</v>
      </c>
      <c r="S18" s="320" t="s">
        <v>409</v>
      </c>
      <c r="T18" s="60"/>
      <c r="U18" s="59" t="s">
        <v>412</v>
      </c>
      <c r="V18" s="60"/>
      <c r="W18" s="59" t="s">
        <v>416</v>
      </c>
      <c r="X18" s="59"/>
      <c r="Y18" s="314" t="s">
        <v>390</v>
      </c>
      <c r="Z18" s="315">
        <f>COUNTIFS($T$2:$AB$11,Y18)/2</f>
        <v>3</v>
      </c>
      <c r="AA18" s="59"/>
    </row>
    <row r="19" spans="2:27" ht="12.75" customHeight="1" x14ac:dyDescent="0.4">
      <c r="C19" s="41" t="s">
        <v>136</v>
      </c>
      <c r="E19" s="41" t="s">
        <v>92</v>
      </c>
      <c r="G19" s="41" t="s">
        <v>95</v>
      </c>
      <c r="I19" s="314" t="s">
        <v>390</v>
      </c>
      <c r="J19" s="315">
        <f>COUNTIFS($B$2:$K$11,I19)/2</f>
        <v>3</v>
      </c>
      <c r="S19" s="59" t="s">
        <v>410</v>
      </c>
      <c r="T19" s="60"/>
      <c r="U19" s="59" t="s">
        <v>413</v>
      </c>
      <c r="V19" s="59"/>
      <c r="W19" s="59" t="s">
        <v>417</v>
      </c>
      <c r="X19" s="59"/>
      <c r="Y19" s="299" t="s">
        <v>407</v>
      </c>
      <c r="Z19" s="300">
        <f>SUM(Z16:Z18)</f>
        <v>9</v>
      </c>
      <c r="AA19" s="59"/>
    </row>
    <row r="20" spans="2:27" ht="12.75" customHeight="1" x14ac:dyDescent="0.4">
      <c r="C20" s="41" t="s">
        <v>98</v>
      </c>
      <c r="I20" s="299" t="s">
        <v>407</v>
      </c>
      <c r="J20" s="300">
        <f>SUM(J17:J19)</f>
        <v>10</v>
      </c>
      <c r="S20" s="59"/>
      <c r="T20" s="59"/>
      <c r="U20" s="59"/>
      <c r="V20" s="59"/>
      <c r="W20" s="59"/>
      <c r="X20" s="59"/>
      <c r="Y20" s="299"/>
      <c r="Z20" s="300"/>
      <c r="AA20" s="59"/>
    </row>
    <row r="21" spans="2:27" ht="12.75" customHeight="1" x14ac:dyDescent="0.4">
      <c r="I21" s="299"/>
      <c r="J21" s="300"/>
      <c r="S21" s="59"/>
      <c r="T21" s="59"/>
      <c r="U21" s="59"/>
      <c r="V21" s="59"/>
      <c r="W21" s="59"/>
      <c r="X21" s="60"/>
      <c r="Y21" s="312" t="str">
        <f>R22</f>
        <v>第２節</v>
      </c>
      <c r="Z21" s="313"/>
      <c r="AA21" s="59"/>
    </row>
    <row r="22" spans="2:27" ht="12.75" customHeight="1" x14ac:dyDescent="0.4">
      <c r="B22" t="s">
        <v>380</v>
      </c>
      <c r="C22">
        <v>1458</v>
      </c>
      <c r="E22">
        <v>269</v>
      </c>
      <c r="G22">
        <v>370</v>
      </c>
      <c r="I22" s="312" t="str">
        <f>B22</f>
        <v>第２節</v>
      </c>
      <c r="J22" s="313"/>
      <c r="R22" t="s">
        <v>380</v>
      </c>
      <c r="S22" s="324" t="s">
        <v>418</v>
      </c>
      <c r="T22" s="59"/>
      <c r="U22" s="323" t="s">
        <v>132</v>
      </c>
      <c r="V22" s="324"/>
      <c r="W22" s="323" t="s">
        <v>133</v>
      </c>
      <c r="X22" s="60"/>
      <c r="Y22" s="305" t="s">
        <v>391</v>
      </c>
      <c r="Z22" s="306">
        <f t="shared" ref="Z22:Z24" si="2">COUNTIFS($T$2:$AB$11,Y22)/2</f>
        <v>3</v>
      </c>
      <c r="AA22" s="59"/>
    </row>
    <row r="23" spans="2:27" ht="12.75" customHeight="1" x14ac:dyDescent="0.4">
      <c r="C23" s="41" t="s">
        <v>109</v>
      </c>
      <c r="E23" s="41" t="s">
        <v>116</v>
      </c>
      <c r="G23" s="41" t="s">
        <v>118</v>
      </c>
      <c r="I23" s="305" t="s">
        <v>391</v>
      </c>
      <c r="J23" s="306">
        <f>COUNTIFS($B$2:$K$11,I23)/2</f>
        <v>4</v>
      </c>
      <c r="S23" s="59" t="s">
        <v>419</v>
      </c>
      <c r="T23" s="60"/>
      <c r="U23" s="59" t="s">
        <v>422</v>
      </c>
      <c r="V23" s="60"/>
      <c r="W23" s="59" t="s">
        <v>425</v>
      </c>
      <c r="X23" s="60"/>
      <c r="Y23" s="303" t="s">
        <v>392</v>
      </c>
      <c r="Z23" s="304">
        <f t="shared" si="2"/>
        <v>3</v>
      </c>
      <c r="AA23" s="59"/>
    </row>
    <row r="24" spans="2:27" ht="12.75" customHeight="1" x14ac:dyDescent="0.4">
      <c r="C24" s="41" t="s">
        <v>115</v>
      </c>
      <c r="E24" s="41" t="s">
        <v>117</v>
      </c>
      <c r="G24" s="41" t="s">
        <v>107</v>
      </c>
      <c r="I24" s="303" t="s">
        <v>392</v>
      </c>
      <c r="J24" s="304">
        <f>COUNTIFS($B$2:$K$11,I24)/2</f>
        <v>3</v>
      </c>
      <c r="S24" s="59" t="s">
        <v>420</v>
      </c>
      <c r="T24" s="60"/>
      <c r="U24" s="59" t="s">
        <v>423</v>
      </c>
      <c r="V24" s="60"/>
      <c r="W24" s="59" t="s">
        <v>426</v>
      </c>
      <c r="X24" s="59"/>
      <c r="Y24" s="314" t="s">
        <v>393</v>
      </c>
      <c r="Z24" s="315">
        <f t="shared" si="2"/>
        <v>3</v>
      </c>
      <c r="AA24" s="59"/>
    </row>
    <row r="25" spans="2:27" ht="12.75" customHeight="1" x14ac:dyDescent="0.4">
      <c r="C25" s="41" t="s">
        <v>101</v>
      </c>
      <c r="E25" s="41" t="s">
        <v>104</v>
      </c>
      <c r="G25" s="41" t="s">
        <v>119</v>
      </c>
      <c r="I25" s="314" t="s">
        <v>393</v>
      </c>
      <c r="J25" s="315">
        <f>COUNTIFS($B$2:$K$11,I25)/2</f>
        <v>3</v>
      </c>
      <c r="S25" s="59" t="s">
        <v>421</v>
      </c>
      <c r="T25" s="60"/>
      <c r="U25" s="59" t="s">
        <v>424</v>
      </c>
      <c r="V25" s="60"/>
      <c r="W25" s="59" t="s">
        <v>427</v>
      </c>
      <c r="X25" s="59"/>
      <c r="Y25" s="299" t="s">
        <v>407</v>
      </c>
      <c r="Z25" s="300">
        <f>SUM(Z22:Z24)</f>
        <v>9</v>
      </c>
      <c r="AA25" s="59"/>
    </row>
    <row r="26" spans="2:27" ht="12.75" customHeight="1" x14ac:dyDescent="0.4">
      <c r="C26" s="41" t="s">
        <v>137</v>
      </c>
      <c r="I26" s="299" t="s">
        <v>407</v>
      </c>
      <c r="J26" s="300">
        <f>SUM(J23:J25)</f>
        <v>10</v>
      </c>
      <c r="S26" s="59"/>
      <c r="T26" s="60"/>
      <c r="U26" s="59"/>
      <c r="V26" s="59"/>
      <c r="W26" s="59"/>
      <c r="X26" s="59"/>
      <c r="Y26" s="299"/>
      <c r="Z26" s="300"/>
      <c r="AA26" s="59"/>
    </row>
    <row r="27" spans="2:27" ht="12.75" customHeight="1" x14ac:dyDescent="0.4">
      <c r="I27" s="299"/>
      <c r="J27" s="300"/>
      <c r="S27" s="59"/>
      <c r="T27" s="59"/>
      <c r="U27" s="59"/>
      <c r="V27" s="59"/>
      <c r="W27" s="59"/>
      <c r="X27" s="60"/>
      <c r="Y27" s="312" t="str">
        <f>R28</f>
        <v>第３節</v>
      </c>
      <c r="Z27" s="313"/>
      <c r="AA27" s="59"/>
    </row>
    <row r="28" spans="2:27" ht="12.75" customHeight="1" x14ac:dyDescent="0.4">
      <c r="B28" t="s">
        <v>381</v>
      </c>
      <c r="C28">
        <v>2359</v>
      </c>
      <c r="E28">
        <v>1610</v>
      </c>
      <c r="G28">
        <v>478</v>
      </c>
      <c r="I28" s="312" t="str">
        <f>B28</f>
        <v>第３節</v>
      </c>
      <c r="J28" s="313"/>
      <c r="R28" t="s">
        <v>381</v>
      </c>
      <c r="S28" s="324">
        <v>159</v>
      </c>
      <c r="T28" s="324"/>
      <c r="U28" s="323" t="s">
        <v>431</v>
      </c>
      <c r="V28" s="324"/>
      <c r="W28" s="323" t="s">
        <v>134</v>
      </c>
      <c r="X28" s="59"/>
      <c r="Y28" s="305" t="s">
        <v>394</v>
      </c>
      <c r="Z28" s="306">
        <f t="shared" ref="Z28:Z30" si="3">COUNTIFS($T$2:$AB$11,Y28)/2</f>
        <v>3</v>
      </c>
      <c r="AA28" s="59"/>
    </row>
    <row r="29" spans="2:27" ht="12.75" customHeight="1" x14ac:dyDescent="0.4">
      <c r="C29" s="41" t="s">
        <v>112</v>
      </c>
      <c r="E29" s="41" t="s">
        <v>122</v>
      </c>
      <c r="G29" s="41" t="s">
        <v>106</v>
      </c>
      <c r="I29" s="305" t="s">
        <v>394</v>
      </c>
      <c r="J29" s="306">
        <f>COUNTIFS($B$2:$K$11,I29)/2</f>
        <v>4</v>
      </c>
      <c r="S29" s="59" t="s">
        <v>428</v>
      </c>
      <c r="T29" s="60"/>
      <c r="U29" s="59" t="s">
        <v>432</v>
      </c>
      <c r="V29" s="60"/>
      <c r="W29" s="59" t="s">
        <v>435</v>
      </c>
      <c r="X29" s="59"/>
      <c r="Y29" s="303" t="s">
        <v>395</v>
      </c>
      <c r="Z29" s="304">
        <f t="shared" si="3"/>
        <v>3</v>
      </c>
      <c r="AA29" s="59"/>
    </row>
    <row r="30" spans="2:27" ht="12.75" customHeight="1" x14ac:dyDescent="0.4">
      <c r="C30" s="41" t="s">
        <v>138</v>
      </c>
      <c r="E30" s="41" t="s">
        <v>123</v>
      </c>
      <c r="G30" s="41" t="s">
        <v>125</v>
      </c>
      <c r="I30" s="303" t="s">
        <v>395</v>
      </c>
      <c r="J30" s="304">
        <f>COUNTIFS($B$2:$K$11,I30)/2</f>
        <v>3</v>
      </c>
      <c r="S30" s="59" t="s">
        <v>429</v>
      </c>
      <c r="T30" s="60"/>
      <c r="U30" s="59" t="s">
        <v>433</v>
      </c>
      <c r="V30" s="60"/>
      <c r="W30" s="59" t="s">
        <v>436</v>
      </c>
      <c r="X30" s="59"/>
      <c r="Y30" s="314" t="s">
        <v>396</v>
      </c>
      <c r="Z30" s="315">
        <f t="shared" si="3"/>
        <v>3</v>
      </c>
      <c r="AA30" s="59"/>
    </row>
    <row r="31" spans="2:27" ht="12.75" customHeight="1" x14ac:dyDescent="0.4">
      <c r="C31" s="41" t="s">
        <v>102</v>
      </c>
      <c r="E31" s="41" t="s">
        <v>124</v>
      </c>
      <c r="G31" s="41" t="s">
        <v>114</v>
      </c>
      <c r="I31" s="314" t="s">
        <v>396</v>
      </c>
      <c r="J31" s="315">
        <f>COUNTIFS($B$2:$K$11,I31)/2</f>
        <v>3</v>
      </c>
      <c r="S31" s="59" t="s">
        <v>430</v>
      </c>
      <c r="T31" s="60"/>
      <c r="U31" s="59" t="s">
        <v>434</v>
      </c>
      <c r="V31" s="60"/>
      <c r="W31" s="59" t="s">
        <v>437</v>
      </c>
      <c r="X31" s="59"/>
      <c r="Y31" s="299" t="s">
        <v>407</v>
      </c>
      <c r="Z31" s="300">
        <f>SUM(Z28:Z30)</f>
        <v>9</v>
      </c>
      <c r="AA31" s="59"/>
    </row>
    <row r="32" spans="2:27" ht="14.25" customHeight="1" x14ac:dyDescent="0.4">
      <c r="C32" s="41" t="s">
        <v>105</v>
      </c>
      <c r="I32" s="299" t="s">
        <v>407</v>
      </c>
      <c r="J32" s="300">
        <f>SUM(J29:J31)</f>
        <v>10</v>
      </c>
      <c r="S32" s="59"/>
      <c r="T32" s="60"/>
      <c r="U32" s="59"/>
      <c r="V32" s="60"/>
      <c r="W32" s="59"/>
      <c r="X32" s="59"/>
      <c r="Y32" s="299"/>
      <c r="Z32" s="300"/>
      <c r="AA32" s="59"/>
    </row>
    <row r="33" spans="2:27" ht="14.25" customHeight="1" x14ac:dyDescent="0.4">
      <c r="I33" s="299"/>
      <c r="J33" s="300"/>
      <c r="S33" s="59"/>
      <c r="T33" s="60"/>
      <c r="U33" s="59"/>
      <c r="V33" s="59"/>
      <c r="W33" s="59"/>
      <c r="X33" s="59"/>
      <c r="Y33" s="312" t="str">
        <f>R34</f>
        <v>第４節</v>
      </c>
      <c r="Z33" s="313"/>
      <c r="AA33" s="59"/>
    </row>
    <row r="34" spans="2:27" ht="14.25" customHeight="1" x14ac:dyDescent="0.4">
      <c r="B34" t="s">
        <v>382</v>
      </c>
      <c r="C34">
        <v>1579</v>
      </c>
      <c r="E34">
        <v>368</v>
      </c>
      <c r="G34">
        <v>2410</v>
      </c>
      <c r="I34" s="312" t="str">
        <f>B34</f>
        <v>第４節</v>
      </c>
      <c r="J34" s="313"/>
      <c r="R34" t="s">
        <v>382</v>
      </c>
      <c r="S34" s="324">
        <v>168</v>
      </c>
      <c r="T34" s="323"/>
      <c r="U34" s="323" t="s">
        <v>135</v>
      </c>
      <c r="V34" s="324"/>
      <c r="W34" s="323" t="s">
        <v>447</v>
      </c>
      <c r="X34" s="59"/>
      <c r="Y34" s="305" t="s">
        <v>397</v>
      </c>
      <c r="Z34" s="306">
        <f t="shared" ref="Z34:Z36" si="4">COUNTIFS($T$2:$AB$11,Y34)/2</f>
        <v>3</v>
      </c>
      <c r="AA34" s="59"/>
    </row>
    <row r="35" spans="2:27" ht="14.25" customHeight="1" x14ac:dyDescent="0.4">
      <c r="C35" s="278" t="s">
        <v>126</v>
      </c>
      <c r="E35" s="279" t="s">
        <v>103</v>
      </c>
      <c r="G35" s="280" t="s">
        <v>120</v>
      </c>
      <c r="I35" s="305" t="s">
        <v>397</v>
      </c>
      <c r="J35" s="306">
        <f>COUNTIFS($B$2:$K$11,I35)/2</f>
        <v>3</v>
      </c>
      <c r="S35" s="59" t="s">
        <v>438</v>
      </c>
      <c r="T35" s="60"/>
      <c r="U35" s="59" t="s">
        <v>441</v>
      </c>
      <c r="V35" s="59"/>
      <c r="W35" s="59" t="s">
        <v>444</v>
      </c>
      <c r="X35" s="59"/>
      <c r="Y35" s="303" t="s">
        <v>398</v>
      </c>
      <c r="Z35" s="304">
        <f t="shared" si="4"/>
        <v>3</v>
      </c>
      <c r="AA35" s="59"/>
    </row>
    <row r="36" spans="2:27" ht="14.25" customHeight="1" x14ac:dyDescent="0.4">
      <c r="C36" s="278" t="s">
        <v>139</v>
      </c>
      <c r="E36" s="279" t="s">
        <v>128</v>
      </c>
      <c r="G36" s="280" t="s">
        <v>108</v>
      </c>
      <c r="I36" s="303" t="s">
        <v>398</v>
      </c>
      <c r="J36" s="304">
        <f>COUNTIFS($B$2:$K$11,I36)/2</f>
        <v>3</v>
      </c>
      <c r="S36" s="59" t="s">
        <v>439</v>
      </c>
      <c r="T36" s="60"/>
      <c r="U36" s="59" t="s">
        <v>442</v>
      </c>
      <c r="V36" s="59"/>
      <c r="W36" s="59" t="s">
        <v>445</v>
      </c>
      <c r="Y36" s="314" t="s">
        <v>399</v>
      </c>
      <c r="Z36" s="315">
        <f t="shared" si="4"/>
        <v>3</v>
      </c>
    </row>
    <row r="37" spans="2:27" ht="14.25" customHeight="1" x14ac:dyDescent="0.4">
      <c r="C37" s="278" t="s">
        <v>99</v>
      </c>
      <c r="E37" s="279" t="s">
        <v>130</v>
      </c>
      <c r="I37" s="314" t="s">
        <v>399</v>
      </c>
      <c r="J37" s="315">
        <f>COUNTIFS($B$2:$K$11,I37)/2</f>
        <v>2</v>
      </c>
      <c r="S37" s="59" t="s">
        <v>440</v>
      </c>
      <c r="U37" s="59" t="s">
        <v>443</v>
      </c>
      <c r="V37" s="59"/>
      <c r="W37" s="59" t="s">
        <v>446</v>
      </c>
      <c r="Y37" s="299" t="s">
        <v>407</v>
      </c>
      <c r="Z37" s="300">
        <f>SUM(Z34:Z36)</f>
        <v>9</v>
      </c>
    </row>
    <row r="38" spans="2:27" ht="14.25" customHeight="1" x14ac:dyDescent="0.4">
      <c r="I38" s="299" t="s">
        <v>407</v>
      </c>
      <c r="J38" s="300">
        <f>SUM(J35:J37)</f>
        <v>8</v>
      </c>
      <c r="S38" s="59"/>
      <c r="T38" s="60"/>
      <c r="U38" s="59"/>
      <c r="V38" s="59"/>
      <c r="W38" s="59"/>
      <c r="Y38" s="312"/>
      <c r="Z38" s="316"/>
    </row>
    <row r="39" spans="2:27" ht="14.25" customHeight="1" x14ac:dyDescent="0.4">
      <c r="B39" t="s">
        <v>383</v>
      </c>
      <c r="C39">
        <v>1496</v>
      </c>
      <c r="E39">
        <v>3510</v>
      </c>
      <c r="G39">
        <v>278</v>
      </c>
      <c r="I39" s="312" t="str">
        <f>B39</f>
        <v>第５節</v>
      </c>
      <c r="J39" s="316"/>
      <c r="S39" s="59"/>
      <c r="T39" s="60"/>
      <c r="Y39" s="310"/>
      <c r="Z39" s="311"/>
    </row>
    <row r="40" spans="2:27" ht="14.25" customHeight="1" thickBot="1" x14ac:dyDescent="0.45">
      <c r="C40" s="41" t="s">
        <v>111</v>
      </c>
      <c r="E40" s="41" t="s">
        <v>121</v>
      </c>
      <c r="G40" s="41" t="s">
        <v>113</v>
      </c>
      <c r="I40" s="305" t="s">
        <v>400</v>
      </c>
      <c r="J40" s="306">
        <f>COUNTIFS($B$2:$K$11,I40)/2</f>
        <v>3</v>
      </c>
      <c r="S40" s="59"/>
      <c r="Y40" s="318"/>
      <c r="Z40" s="319"/>
    </row>
    <row r="41" spans="2:27" ht="19.5" thickBot="1" x14ac:dyDescent="0.45">
      <c r="C41" s="41" t="s">
        <v>110</v>
      </c>
      <c r="E41" s="41" t="s">
        <v>127</v>
      </c>
      <c r="G41" s="41" t="s">
        <v>100</v>
      </c>
      <c r="I41" s="303" t="s">
        <v>401</v>
      </c>
      <c r="J41" s="304">
        <f>COUNTIFS($B$2:$K$11,I41)/2</f>
        <v>2</v>
      </c>
      <c r="S41" s="59"/>
      <c r="Y41" s="301" t="s">
        <v>405</v>
      </c>
      <c r="Z41" s="302">
        <f>SUM(Z19,Z25,Z31,Z37)</f>
        <v>36</v>
      </c>
    </row>
    <row r="42" spans="2:27" x14ac:dyDescent="0.4">
      <c r="C42" s="41" t="s">
        <v>129</v>
      </c>
      <c r="I42" s="314" t="s">
        <v>402</v>
      </c>
      <c r="J42" s="315">
        <f>COUNTIFS($B$2:$K$11,I42)/2</f>
        <v>2</v>
      </c>
      <c r="S42" s="59"/>
    </row>
    <row r="43" spans="2:27" x14ac:dyDescent="0.4">
      <c r="I43" s="299" t="s">
        <v>407</v>
      </c>
      <c r="J43" s="300">
        <f>SUM(J40:J42)</f>
        <v>7</v>
      </c>
      <c r="S43" s="59"/>
    </row>
    <row r="44" spans="2:27" ht="19.5" thickBot="1" x14ac:dyDescent="0.45">
      <c r="I44" s="318"/>
      <c r="J44" s="319"/>
      <c r="S44" s="59"/>
    </row>
    <row r="45" spans="2:27" ht="19.5" thickBot="1" x14ac:dyDescent="0.45">
      <c r="I45" s="317" t="s">
        <v>405</v>
      </c>
      <c r="J45" s="307">
        <f>SUM(J20,J26,J32,J38,J43)</f>
        <v>45</v>
      </c>
      <c r="S45" s="59"/>
    </row>
    <row r="46" spans="2:27" x14ac:dyDescent="0.4">
      <c r="S46" s="59"/>
    </row>
    <row r="47" spans="2:27" x14ac:dyDescent="0.4">
      <c r="S47" s="59"/>
    </row>
    <row r="48" spans="2:27" x14ac:dyDescent="0.4">
      <c r="S48" s="59"/>
    </row>
  </sheetData>
  <phoneticPr fontId="25"/>
  <pageMargins left="0.69930555555555596" right="0.69930555555555596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</sheetPr>
  <dimension ref="A1:AY468"/>
  <sheetViews>
    <sheetView zoomScaleNormal="100" zoomScaleSheetLayoutView="90" workbookViewId="0">
      <pane xSplit="47" ySplit="2" topLeftCell="AV3" activePane="bottomRight" state="frozen"/>
      <selection pane="topRight" activeCell="AV1" sqref="AV1"/>
      <selection pane="bottomLeft" activeCell="A3" sqref="A3"/>
      <selection pane="bottomRight" activeCell="AV3" sqref="AV3"/>
    </sheetView>
  </sheetViews>
  <sheetFormatPr defaultRowHeight="15.75" x14ac:dyDescent="0.4"/>
  <cols>
    <col min="1" max="1" width="3.125" style="96" customWidth="1"/>
    <col min="2" max="2" width="5" style="96" customWidth="1"/>
    <col min="3" max="4" width="3.125" style="96" customWidth="1"/>
    <col min="5" max="5" width="4.5" style="96" customWidth="1"/>
    <col min="6" max="43" width="3.125" style="96" customWidth="1"/>
    <col min="44" max="44" width="9.125" style="96" hidden="1" customWidth="1"/>
    <col min="45" max="45" width="7.5" style="96" hidden="1" customWidth="1"/>
    <col min="46" max="47" width="9" style="96" hidden="1" customWidth="1"/>
    <col min="48" max="16384" width="9" style="96"/>
  </cols>
  <sheetData>
    <row r="1" spans="1:45" ht="14.25" customHeight="1" x14ac:dyDescent="0.4">
      <c r="A1" s="115"/>
      <c r="B1" s="599" t="str">
        <f>U12組合せ!$B$1</f>
        <v>ＪＦＡ　Ｕ-１２サッカーリーグ2021（in栃木） 宇都宮地区リーグ戦（前期）</v>
      </c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599"/>
      <c r="AA1" s="599"/>
      <c r="AB1" s="599"/>
      <c r="AC1" s="612" t="str">
        <f>"【"&amp;(U12組合せ!$D$3)&amp;"】"</f>
        <v>【Ａ ブロック】</v>
      </c>
      <c r="AD1" s="612"/>
      <c r="AE1" s="612"/>
      <c r="AF1" s="612"/>
      <c r="AG1" s="612"/>
      <c r="AH1" s="612"/>
      <c r="AI1" s="612"/>
      <c r="AJ1" s="612"/>
      <c r="AK1" s="602" t="str">
        <f>"第"&amp;(U12組合せ!$D$21)</f>
        <v>第１節</v>
      </c>
      <c r="AL1" s="602"/>
      <c r="AM1" s="602"/>
      <c r="AN1" s="602"/>
      <c r="AO1" s="602"/>
      <c r="AP1" s="597" t="s">
        <v>299</v>
      </c>
      <c r="AQ1" s="598"/>
    </row>
    <row r="2" spans="1:45" ht="14.25" customHeight="1" x14ac:dyDescent="0.4">
      <c r="A2" s="115"/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601"/>
      <c r="AD2" s="601"/>
      <c r="AE2" s="601"/>
      <c r="AF2" s="601"/>
      <c r="AG2" s="601"/>
      <c r="AH2" s="601"/>
      <c r="AI2" s="601"/>
      <c r="AJ2" s="601"/>
      <c r="AK2" s="601"/>
      <c r="AL2" s="601"/>
      <c r="AM2" s="601"/>
      <c r="AN2" s="601"/>
      <c r="AO2" s="601"/>
      <c r="AP2" s="598"/>
      <c r="AQ2" s="598"/>
    </row>
    <row r="3" spans="1:45" ht="27" customHeight="1" x14ac:dyDescent="0.4">
      <c r="C3" s="635" t="s">
        <v>1</v>
      </c>
      <c r="D3" s="635"/>
      <c r="E3" s="635"/>
      <c r="F3" s="635"/>
      <c r="G3" s="725" t="str">
        <f>U12組合せ!E21</f>
        <v>石井 3</v>
      </c>
      <c r="H3" s="726"/>
      <c r="I3" s="726"/>
      <c r="J3" s="726"/>
      <c r="K3" s="726"/>
      <c r="L3" s="726"/>
      <c r="M3" s="726"/>
      <c r="N3" s="726"/>
      <c r="O3" s="727"/>
      <c r="P3" s="635" t="s">
        <v>0</v>
      </c>
      <c r="Q3" s="635"/>
      <c r="R3" s="635"/>
      <c r="S3" s="635"/>
      <c r="T3" s="636" t="str">
        <f>E6</f>
        <v>石井ＦＣ</v>
      </c>
      <c r="U3" s="636"/>
      <c r="V3" s="636"/>
      <c r="W3" s="636"/>
      <c r="X3" s="636"/>
      <c r="Y3" s="636"/>
      <c r="Z3" s="636"/>
      <c r="AA3" s="636"/>
      <c r="AB3" s="636"/>
      <c r="AC3" s="635" t="s">
        <v>2</v>
      </c>
      <c r="AD3" s="635"/>
      <c r="AE3" s="635"/>
      <c r="AF3" s="635"/>
      <c r="AG3" s="618">
        <f>U12対戦スケジュール!F3</f>
        <v>44296</v>
      </c>
      <c r="AH3" s="619"/>
      <c r="AI3" s="619"/>
      <c r="AJ3" s="619"/>
      <c r="AK3" s="619"/>
      <c r="AL3" s="619"/>
      <c r="AM3" s="620" t="str">
        <f>"（"&amp;TEXT(AG3,"aaa")&amp;"）"</f>
        <v>（土）</v>
      </c>
      <c r="AN3" s="620"/>
      <c r="AO3" s="621"/>
    </row>
    <row r="4" spans="1:45" ht="15" customHeight="1" x14ac:dyDescent="0.4">
      <c r="C4" s="96" t="str">
        <f>U12対戦スケジュール!C5</f>
        <v>A1234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95"/>
      <c r="X4" s="95"/>
      <c r="Y4" s="95"/>
      <c r="Z4" s="95"/>
      <c r="AA4" s="95"/>
      <c r="AB4" s="95"/>
      <c r="AC4" s="95"/>
    </row>
    <row r="5" spans="1:45" ht="29.25" customHeight="1" x14ac:dyDescent="0.4">
      <c r="C5" s="636">
        <v>1</v>
      </c>
      <c r="D5" s="636"/>
      <c r="E5" s="709" t="str">
        <f>VLOOKUP(C5,U12組合せ!B$10:K$19,3,TRUE)</f>
        <v>富士見ＳＳＳ</v>
      </c>
      <c r="F5" s="709"/>
      <c r="G5" s="709"/>
      <c r="H5" s="709"/>
      <c r="I5" s="709"/>
      <c r="J5" s="709"/>
      <c r="K5" s="709"/>
      <c r="L5" s="709"/>
      <c r="M5" s="709"/>
      <c r="N5" s="709"/>
      <c r="O5" s="94"/>
      <c r="P5" s="94"/>
      <c r="Q5" s="637">
        <v>5</v>
      </c>
      <c r="R5" s="637"/>
      <c r="S5" s="584" t="str">
        <f>VLOOKUP(Q5,U12組合せ!B$10:K$19,3,TRUE)</f>
        <v>ブラッドレスＳＣ</v>
      </c>
      <c r="T5" s="584"/>
      <c r="U5" s="584"/>
      <c r="V5" s="584"/>
      <c r="W5" s="584"/>
      <c r="X5" s="584"/>
      <c r="Y5" s="584"/>
      <c r="Z5" s="584"/>
      <c r="AA5" s="584"/>
      <c r="AB5" s="584"/>
      <c r="AC5" s="92"/>
      <c r="AD5" s="93"/>
      <c r="AE5" s="637">
        <v>8</v>
      </c>
      <c r="AF5" s="637"/>
      <c r="AG5" s="584" t="str">
        <f>VLOOKUP(AE5,U12組合せ!B$10:'U12組合せ'!K$19,3,TRUE)</f>
        <v>国本ＪＳＣ</v>
      </c>
      <c r="AH5" s="584"/>
      <c r="AI5" s="584"/>
      <c r="AJ5" s="584"/>
      <c r="AK5" s="584"/>
      <c r="AL5" s="584"/>
      <c r="AM5" s="584"/>
      <c r="AN5" s="584"/>
      <c r="AO5" s="584"/>
      <c r="AP5" s="584"/>
    </row>
    <row r="6" spans="1:45" ht="29.25" customHeight="1" x14ac:dyDescent="0.4">
      <c r="C6" s="636">
        <v>2</v>
      </c>
      <c r="D6" s="636"/>
      <c r="E6" s="709" t="str">
        <f>VLOOKUP(C6,U12組合せ!B$10:K$19,3,TRUE)</f>
        <v>石井ＦＣ</v>
      </c>
      <c r="F6" s="709"/>
      <c r="G6" s="709"/>
      <c r="H6" s="709"/>
      <c r="I6" s="709"/>
      <c r="J6" s="709"/>
      <c r="K6" s="709"/>
      <c r="L6" s="709"/>
      <c r="M6" s="709"/>
      <c r="N6" s="709"/>
      <c r="O6" s="94"/>
      <c r="P6" s="94"/>
      <c r="Q6" s="637">
        <v>6</v>
      </c>
      <c r="R6" s="637"/>
      <c r="S6" s="584" t="str">
        <f>VLOOKUP(Q6,U12組合せ!B$10:'U12組合せ'!K$19,3,TRUE)</f>
        <v>Ｓ４スペランツァ</v>
      </c>
      <c r="T6" s="584"/>
      <c r="U6" s="584"/>
      <c r="V6" s="584"/>
      <c r="W6" s="584"/>
      <c r="X6" s="584"/>
      <c r="Y6" s="584"/>
      <c r="Z6" s="584"/>
      <c r="AA6" s="584"/>
      <c r="AB6" s="584"/>
      <c r="AC6" s="92"/>
      <c r="AD6" s="93"/>
      <c r="AE6" s="637">
        <v>9</v>
      </c>
      <c r="AF6" s="637"/>
      <c r="AG6" s="584" t="str">
        <f>VLOOKUP(AE6,U12組合せ!B$10:'U12組合せ'!K$19,3,TRUE)</f>
        <v>本郷北ＦＣ</v>
      </c>
      <c r="AH6" s="584"/>
      <c r="AI6" s="584"/>
      <c r="AJ6" s="584"/>
      <c r="AK6" s="584"/>
      <c r="AL6" s="584"/>
      <c r="AM6" s="584"/>
      <c r="AN6" s="584"/>
      <c r="AO6" s="584"/>
      <c r="AP6" s="584"/>
    </row>
    <row r="7" spans="1:45" ht="29.25" customHeight="1" x14ac:dyDescent="0.4">
      <c r="C7" s="636">
        <v>3</v>
      </c>
      <c r="D7" s="636"/>
      <c r="E7" s="709" t="str">
        <f>VLOOKUP(C7,U12組合せ!B$10:K$19,3,TRUE)</f>
        <v>unionscU12</v>
      </c>
      <c r="F7" s="709"/>
      <c r="G7" s="709"/>
      <c r="H7" s="709"/>
      <c r="I7" s="709"/>
      <c r="J7" s="709"/>
      <c r="K7" s="709"/>
      <c r="L7" s="709"/>
      <c r="M7" s="709"/>
      <c r="N7" s="709"/>
      <c r="O7" s="94"/>
      <c r="P7" s="94"/>
      <c r="Q7" s="637">
        <v>7</v>
      </c>
      <c r="R7" s="637"/>
      <c r="S7" s="584" t="str">
        <f>VLOOKUP(Q7,U12組合せ!B$10:'U12組合せ'!K$19,3,TRUE)</f>
        <v>上河内ＪＳＣ</v>
      </c>
      <c r="T7" s="584"/>
      <c r="U7" s="584"/>
      <c r="V7" s="584"/>
      <c r="W7" s="584"/>
      <c r="X7" s="584"/>
      <c r="Y7" s="584"/>
      <c r="Z7" s="584"/>
      <c r="AA7" s="584"/>
      <c r="AB7" s="584"/>
      <c r="AC7" s="92"/>
      <c r="AD7" s="93"/>
      <c r="AE7" s="637">
        <v>10</v>
      </c>
      <c r="AF7" s="637"/>
      <c r="AG7" s="584" t="str">
        <f>VLOOKUP(AE7,U12組合せ!B$10:'U12組合せ'!K$19,3,TRUE)</f>
        <v>FCアネーロ・U-12</v>
      </c>
      <c r="AH7" s="584"/>
      <c r="AI7" s="584"/>
      <c r="AJ7" s="584"/>
      <c r="AK7" s="584"/>
      <c r="AL7" s="584"/>
      <c r="AM7" s="584"/>
      <c r="AN7" s="584"/>
      <c r="AO7" s="584"/>
      <c r="AP7" s="584"/>
    </row>
    <row r="8" spans="1:45" ht="29.25" customHeight="1" x14ac:dyDescent="0.4">
      <c r="B8" s="102"/>
      <c r="C8" s="636">
        <v>4</v>
      </c>
      <c r="D8" s="636"/>
      <c r="E8" s="709" t="str">
        <f>VLOOKUP(C8,U12組合せ!B$10:K$19,3,TRUE)</f>
        <v>ＳＵＧＡＯ・ＳＣ</v>
      </c>
      <c r="F8" s="709"/>
      <c r="G8" s="709"/>
      <c r="H8" s="709"/>
      <c r="I8" s="709"/>
      <c r="J8" s="709"/>
      <c r="K8" s="709"/>
      <c r="L8" s="709"/>
      <c r="M8" s="709"/>
      <c r="N8" s="709"/>
      <c r="O8" s="94"/>
      <c r="P8" s="94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2"/>
      <c r="AD8" s="94"/>
      <c r="AE8" s="94"/>
      <c r="AF8" s="94"/>
      <c r="AG8" s="94"/>
      <c r="AH8" s="93"/>
      <c r="AI8" s="93"/>
      <c r="AJ8" s="93"/>
      <c r="AK8" s="93"/>
      <c r="AL8" s="93"/>
      <c r="AM8" s="93"/>
      <c r="AN8" s="93"/>
      <c r="AO8" s="93"/>
      <c r="AP8" s="93"/>
    </row>
    <row r="9" spans="1:45" ht="8.25" customHeight="1" x14ac:dyDescent="0.4">
      <c r="O9" s="102"/>
      <c r="P9" s="102"/>
      <c r="AC9" s="95"/>
    </row>
    <row r="10" spans="1:45" ht="8.25" customHeight="1" x14ac:dyDescent="0.4">
      <c r="C10" s="117"/>
      <c r="D10" s="118"/>
      <c r="E10" s="118"/>
      <c r="F10" s="118"/>
      <c r="G10" s="118"/>
      <c r="H10" s="118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18"/>
      <c r="U10" s="102"/>
      <c r="V10" s="118"/>
      <c r="W10" s="102"/>
      <c r="X10" s="118"/>
      <c r="Y10" s="102"/>
      <c r="Z10" s="118"/>
      <c r="AA10" s="102"/>
      <c r="AB10" s="118"/>
      <c r="AC10" s="118"/>
    </row>
    <row r="11" spans="1:45" ht="21" customHeight="1" x14ac:dyDescent="0.4">
      <c r="B11" s="118" t="str">
        <f ca="1">IF(B13="①","【監督会議 8：20～】","【監督会議 12：50～】")</f>
        <v>【監督会議 8：20～】</v>
      </c>
      <c r="H11" s="96" t="s">
        <v>330</v>
      </c>
    </row>
    <row r="12" spans="1:45" ht="20.25" customHeight="1" x14ac:dyDescent="0.4">
      <c r="B12" s="97"/>
      <c r="C12" s="711" t="s">
        <v>3</v>
      </c>
      <c r="D12" s="711"/>
      <c r="E12" s="711"/>
      <c r="F12" s="712" t="s">
        <v>4</v>
      </c>
      <c r="G12" s="712"/>
      <c r="H12" s="712"/>
      <c r="I12" s="712"/>
      <c r="J12" s="711" t="s">
        <v>5</v>
      </c>
      <c r="K12" s="713"/>
      <c r="L12" s="713"/>
      <c r="M12" s="713"/>
      <c r="N12" s="713"/>
      <c r="O12" s="713"/>
      <c r="P12" s="713"/>
      <c r="Q12" s="711" t="s">
        <v>33</v>
      </c>
      <c r="R12" s="711"/>
      <c r="S12" s="711"/>
      <c r="T12" s="711"/>
      <c r="U12" s="711"/>
      <c r="V12" s="711"/>
      <c r="W12" s="711"/>
      <c r="X12" s="711" t="s">
        <v>5</v>
      </c>
      <c r="Y12" s="713"/>
      <c r="Z12" s="713"/>
      <c r="AA12" s="713"/>
      <c r="AB12" s="713"/>
      <c r="AC12" s="713"/>
      <c r="AD12" s="713"/>
      <c r="AE12" s="712" t="s">
        <v>4</v>
      </c>
      <c r="AF12" s="712"/>
      <c r="AG12" s="712"/>
      <c r="AH12" s="712"/>
      <c r="AI12" s="711" t="s">
        <v>6</v>
      </c>
      <c r="AJ12" s="711"/>
      <c r="AK12" s="713"/>
      <c r="AL12" s="713"/>
      <c r="AM12" s="713"/>
      <c r="AN12" s="713"/>
      <c r="AO12" s="713"/>
      <c r="AP12" s="713"/>
    </row>
    <row r="13" spans="1:45" ht="20.100000000000001" customHeight="1" x14ac:dyDescent="0.4">
      <c r="B13" s="644" t="str">
        <f ca="1">DBCS(INDIRECT("U12対戦スケジュール!A"&amp;(ROW()-1)/2+2))</f>
        <v>①</v>
      </c>
      <c r="C13" s="645">
        <f ca="1">INDIRECT("U12対戦スケジュール!B"&amp;(ROW()-1)/2+2)</f>
        <v>0.375</v>
      </c>
      <c r="D13" s="646"/>
      <c r="E13" s="647"/>
      <c r="F13" s="583"/>
      <c r="G13" s="583"/>
      <c r="H13" s="583"/>
      <c r="I13" s="583"/>
      <c r="J13" s="636" t="str">
        <f ca="1">VLOOKUP(AR13,U12組合せ!B$10:E$19,3,TRUE)</f>
        <v>富士見ＳＳＳ</v>
      </c>
      <c r="K13" s="637"/>
      <c r="L13" s="637"/>
      <c r="M13" s="637"/>
      <c r="N13" s="637"/>
      <c r="O13" s="637"/>
      <c r="P13" s="637"/>
      <c r="Q13" s="635">
        <f>IF(OR(S13="",S14=""),"",S13+S14)</f>
        <v>0</v>
      </c>
      <c r="R13" s="635"/>
      <c r="S13" s="98">
        <v>0</v>
      </c>
      <c r="T13" s="99" t="s">
        <v>7</v>
      </c>
      <c r="U13" s="98">
        <v>0</v>
      </c>
      <c r="V13" s="635">
        <f>IF(OR(U13="",U14=""),"",U13+U14)</f>
        <v>0</v>
      </c>
      <c r="W13" s="635"/>
      <c r="X13" s="636" t="str">
        <f ca="1">VLOOKUP(AS13,U12組合せ!B$10:E$19,3,TRUE)</f>
        <v>石井ＦＣ</v>
      </c>
      <c r="Y13" s="637"/>
      <c r="Z13" s="637"/>
      <c r="AA13" s="637"/>
      <c r="AB13" s="637"/>
      <c r="AC13" s="637"/>
      <c r="AD13" s="637"/>
      <c r="AE13" s="583"/>
      <c r="AF13" s="583"/>
      <c r="AG13" s="583"/>
      <c r="AH13" s="583"/>
      <c r="AI13" s="634" t="str">
        <f ca="1">DBCS(VLOOKUP(B13,U12対戦スケジュール!A$8:F$11,6,TRUE))</f>
        <v>３／４／４／３</v>
      </c>
      <c r="AJ13" s="583"/>
      <c r="AK13" s="583"/>
      <c r="AL13" s="583"/>
      <c r="AM13" s="583"/>
      <c r="AN13" s="583"/>
      <c r="AO13" s="583"/>
      <c r="AP13" s="583"/>
      <c r="AR13" s="119">
        <f ca="1">VLOOKUP(B13,U12対戦スケジュール!$A$8:$F$10,3,FALSE)</f>
        <v>1</v>
      </c>
      <c r="AS13" s="119">
        <f ca="1">VLOOKUP(B13,U12対戦スケジュール!$A$8:$F$10,5,FALSE)</f>
        <v>2</v>
      </c>
    </row>
    <row r="14" spans="1:45" ht="19.5" customHeight="1" x14ac:dyDescent="0.4">
      <c r="B14" s="644"/>
      <c r="C14" s="648"/>
      <c r="D14" s="649"/>
      <c r="E14" s="650"/>
      <c r="F14" s="583"/>
      <c r="G14" s="583"/>
      <c r="H14" s="583"/>
      <c r="I14" s="583"/>
      <c r="J14" s="637"/>
      <c r="K14" s="637"/>
      <c r="L14" s="637"/>
      <c r="M14" s="637"/>
      <c r="N14" s="637"/>
      <c r="O14" s="637"/>
      <c r="P14" s="637"/>
      <c r="Q14" s="635"/>
      <c r="R14" s="635"/>
      <c r="S14" s="98">
        <v>0</v>
      </c>
      <c r="T14" s="99" t="s">
        <v>7</v>
      </c>
      <c r="U14" s="98">
        <v>0</v>
      </c>
      <c r="V14" s="635"/>
      <c r="W14" s="635"/>
      <c r="X14" s="637"/>
      <c r="Y14" s="637"/>
      <c r="Z14" s="637"/>
      <c r="AA14" s="637"/>
      <c r="AB14" s="637"/>
      <c r="AC14" s="637"/>
      <c r="AD14" s="637"/>
      <c r="AE14" s="583"/>
      <c r="AF14" s="583"/>
      <c r="AG14" s="583"/>
      <c r="AH14" s="583"/>
      <c r="AI14" s="583"/>
      <c r="AJ14" s="583"/>
      <c r="AK14" s="583"/>
      <c r="AL14" s="583"/>
      <c r="AM14" s="583"/>
      <c r="AN14" s="583"/>
      <c r="AO14" s="583"/>
      <c r="AP14" s="583"/>
      <c r="AR14" s="119"/>
      <c r="AS14" s="119"/>
    </row>
    <row r="15" spans="1:45" ht="20.100000000000001" customHeight="1" x14ac:dyDescent="0.4">
      <c r="B15" s="644" t="str">
        <f ca="1">DBCS(INDIRECT("U12対戦スケジュール!A"&amp;(ROW()-1)/2+2))</f>
        <v>②</v>
      </c>
      <c r="C15" s="645">
        <f ca="1">INDIRECT("U12対戦スケジュール!B"&amp;(ROW()-1)/2+2)</f>
        <v>0.41000000000000003</v>
      </c>
      <c r="D15" s="646"/>
      <c r="E15" s="647"/>
      <c r="F15" s="583"/>
      <c r="G15" s="583"/>
      <c r="H15" s="583"/>
      <c r="I15" s="583"/>
      <c r="J15" s="636" t="str">
        <f ca="1">VLOOKUP(AR15,U12組合せ!B$10:E$19,3,TRUE)</f>
        <v>unionscU12</v>
      </c>
      <c r="K15" s="637"/>
      <c r="L15" s="637"/>
      <c r="M15" s="637"/>
      <c r="N15" s="637"/>
      <c r="O15" s="637"/>
      <c r="P15" s="637"/>
      <c r="Q15" s="635">
        <f>IF(OR(S15="",S16=""),"",S15+S16)</f>
        <v>3</v>
      </c>
      <c r="R15" s="635"/>
      <c r="S15" s="98">
        <v>2</v>
      </c>
      <c r="T15" s="99" t="s">
        <v>7</v>
      </c>
      <c r="U15" s="98">
        <v>2</v>
      </c>
      <c r="V15" s="635">
        <f>IF(OR(U15="",U16=""),"",U15+U16)</f>
        <v>3</v>
      </c>
      <c r="W15" s="635"/>
      <c r="X15" s="636" t="str">
        <f ca="1">VLOOKUP(AS15,U12組合せ!B$10:E$19,3,TRUE)</f>
        <v>ＳＵＧＡＯ・ＳＣ</v>
      </c>
      <c r="Y15" s="637"/>
      <c r="Z15" s="637"/>
      <c r="AA15" s="637"/>
      <c r="AB15" s="637"/>
      <c r="AC15" s="637"/>
      <c r="AD15" s="637"/>
      <c r="AE15" s="583"/>
      <c r="AF15" s="583"/>
      <c r="AG15" s="583"/>
      <c r="AH15" s="583"/>
      <c r="AI15" s="634" t="str">
        <f ca="1">DBCS(VLOOKUP(B15,U12対戦スケジュール!A$8:F$11,6,TRUE))</f>
        <v>２／１／１／２</v>
      </c>
      <c r="AJ15" s="583"/>
      <c r="AK15" s="583"/>
      <c r="AL15" s="583"/>
      <c r="AM15" s="583"/>
      <c r="AN15" s="583"/>
      <c r="AO15" s="583"/>
      <c r="AP15" s="583"/>
      <c r="AR15" s="119">
        <f ca="1">VLOOKUP(B15,U12対戦スケジュール!$A$8:$F$10,3,FALSE)</f>
        <v>3</v>
      </c>
      <c r="AS15" s="119">
        <f ca="1">VLOOKUP(B15,U12対戦スケジュール!$A$8:$F$10,5,FALSE)</f>
        <v>4</v>
      </c>
    </row>
    <row r="16" spans="1:45" ht="20.100000000000001" customHeight="1" x14ac:dyDescent="0.4">
      <c r="B16" s="644"/>
      <c r="C16" s="648"/>
      <c r="D16" s="649"/>
      <c r="E16" s="650"/>
      <c r="F16" s="583"/>
      <c r="G16" s="583"/>
      <c r="H16" s="583"/>
      <c r="I16" s="583"/>
      <c r="J16" s="637"/>
      <c r="K16" s="637"/>
      <c r="L16" s="637"/>
      <c r="M16" s="637"/>
      <c r="N16" s="637"/>
      <c r="O16" s="637"/>
      <c r="P16" s="637"/>
      <c r="Q16" s="635"/>
      <c r="R16" s="635"/>
      <c r="S16" s="98">
        <v>1</v>
      </c>
      <c r="T16" s="99" t="s">
        <v>7</v>
      </c>
      <c r="U16" s="98">
        <v>1</v>
      </c>
      <c r="V16" s="635"/>
      <c r="W16" s="635"/>
      <c r="X16" s="637"/>
      <c r="Y16" s="637"/>
      <c r="Z16" s="637"/>
      <c r="AA16" s="637"/>
      <c r="AB16" s="637"/>
      <c r="AC16" s="637"/>
      <c r="AD16" s="637"/>
      <c r="AE16" s="583"/>
      <c r="AF16" s="583"/>
      <c r="AG16" s="583"/>
      <c r="AH16" s="583"/>
      <c r="AI16" s="583"/>
      <c r="AJ16" s="583"/>
      <c r="AK16" s="583"/>
      <c r="AL16" s="583"/>
      <c r="AM16" s="583"/>
      <c r="AN16" s="583"/>
      <c r="AO16" s="583"/>
      <c r="AP16" s="583"/>
      <c r="AR16" s="119"/>
      <c r="AS16" s="119"/>
    </row>
    <row r="17" spans="1:45" ht="20.100000000000001" customHeight="1" x14ac:dyDescent="0.4">
      <c r="B17" s="644" t="str">
        <f ca="1">DBCS(INDIRECT("U12対戦スケジュール!A"&amp;(ROW()-1)/2+2))</f>
        <v>③</v>
      </c>
      <c r="C17" s="645">
        <f ca="1">INDIRECT("U12対戦スケジュール!B"&amp;(ROW()-1)/2+2)</f>
        <v>0.45200000000000001</v>
      </c>
      <c r="D17" s="646"/>
      <c r="E17" s="647"/>
      <c r="F17" s="583"/>
      <c r="G17" s="583"/>
      <c r="H17" s="583"/>
      <c r="I17" s="583"/>
      <c r="J17" s="636" t="str">
        <f ca="1">VLOOKUP(AR17,U12組合せ!B$10:E$19,3,TRUE)</f>
        <v>unionscU12</v>
      </c>
      <c r="K17" s="637"/>
      <c r="L17" s="637"/>
      <c r="M17" s="637"/>
      <c r="N17" s="637"/>
      <c r="O17" s="637"/>
      <c r="P17" s="637"/>
      <c r="Q17" s="635">
        <f>IF(OR(S17="",S18=""),"",S17+S18)</f>
        <v>3</v>
      </c>
      <c r="R17" s="635"/>
      <c r="S17" s="98">
        <v>2</v>
      </c>
      <c r="T17" s="99" t="s">
        <v>7</v>
      </c>
      <c r="U17" s="98">
        <v>0</v>
      </c>
      <c r="V17" s="635">
        <f>IF(OR(U17="",U18=""),"",U17+U18)</f>
        <v>0</v>
      </c>
      <c r="W17" s="635"/>
      <c r="X17" s="636" t="str">
        <f ca="1">VLOOKUP(AS17,U12組合せ!B$10:E$19,3,TRUE)</f>
        <v>富士見ＳＳＳ</v>
      </c>
      <c r="Y17" s="637"/>
      <c r="Z17" s="637"/>
      <c r="AA17" s="637"/>
      <c r="AB17" s="637"/>
      <c r="AC17" s="637"/>
      <c r="AD17" s="637"/>
      <c r="AE17" s="583"/>
      <c r="AF17" s="583"/>
      <c r="AG17" s="583"/>
      <c r="AH17" s="583"/>
      <c r="AI17" s="634" t="str">
        <f ca="1">DBCS(VLOOKUP(B17,U12対戦スケジュール!A$8:F$11,6,TRUE))</f>
        <v>４／２／２／４</v>
      </c>
      <c r="AJ17" s="583"/>
      <c r="AK17" s="583"/>
      <c r="AL17" s="583"/>
      <c r="AM17" s="583"/>
      <c r="AN17" s="583"/>
      <c r="AO17" s="583"/>
      <c r="AP17" s="583"/>
      <c r="AR17" s="119">
        <f ca="1">VLOOKUP(B17,U12対戦スケジュール!$A$8:$F$10,3,FALSE)</f>
        <v>3</v>
      </c>
      <c r="AS17" s="119">
        <f ca="1">VLOOKUP(B17,U12対戦スケジュール!$A$8:$F$10,5,FALSE)</f>
        <v>1</v>
      </c>
    </row>
    <row r="18" spans="1:45" ht="20.100000000000001" customHeight="1" x14ac:dyDescent="0.4">
      <c r="B18" s="644"/>
      <c r="C18" s="648"/>
      <c r="D18" s="649"/>
      <c r="E18" s="650"/>
      <c r="F18" s="583"/>
      <c r="G18" s="583"/>
      <c r="H18" s="583"/>
      <c r="I18" s="583"/>
      <c r="J18" s="637"/>
      <c r="K18" s="637"/>
      <c r="L18" s="637"/>
      <c r="M18" s="637"/>
      <c r="N18" s="637"/>
      <c r="O18" s="637"/>
      <c r="P18" s="637"/>
      <c r="Q18" s="635"/>
      <c r="R18" s="635"/>
      <c r="S18" s="98">
        <v>1</v>
      </c>
      <c r="T18" s="99" t="s">
        <v>7</v>
      </c>
      <c r="U18" s="98">
        <v>0</v>
      </c>
      <c r="V18" s="635"/>
      <c r="W18" s="635"/>
      <c r="X18" s="637"/>
      <c r="Y18" s="637"/>
      <c r="Z18" s="637"/>
      <c r="AA18" s="637"/>
      <c r="AB18" s="637"/>
      <c r="AC18" s="637"/>
      <c r="AD18" s="637"/>
      <c r="AE18" s="583"/>
      <c r="AF18" s="583"/>
      <c r="AG18" s="583"/>
      <c r="AH18" s="583"/>
      <c r="AI18" s="583"/>
      <c r="AJ18" s="583"/>
      <c r="AK18" s="583"/>
      <c r="AL18" s="583"/>
      <c r="AM18" s="583"/>
      <c r="AN18" s="583"/>
      <c r="AO18" s="583"/>
      <c r="AP18" s="583"/>
      <c r="AR18" s="119"/>
      <c r="AS18" s="119"/>
    </row>
    <row r="19" spans="1:45" ht="20.100000000000001" customHeight="1" x14ac:dyDescent="0.4">
      <c r="B19" s="644" t="str">
        <f ca="1">DBCS(INDIRECT("U12対戦スケジュール!A"&amp;(ROW()-1)/2+2))</f>
        <v>④</v>
      </c>
      <c r="C19" s="645">
        <f ca="1">INDIRECT("U12対戦スケジュール!B"&amp;(ROW()-1)/2+2)</f>
        <v>0.48650000000000004</v>
      </c>
      <c r="D19" s="646"/>
      <c r="E19" s="647"/>
      <c r="F19" s="583"/>
      <c r="G19" s="583"/>
      <c r="H19" s="583"/>
      <c r="I19" s="583"/>
      <c r="J19" s="636" t="str">
        <f>VLOOKUP(AR19,U12組合せ!B$10:E$19,3,TRUE)</f>
        <v>石井ＦＣ</v>
      </c>
      <c r="K19" s="637"/>
      <c r="L19" s="637"/>
      <c r="M19" s="637"/>
      <c r="N19" s="637"/>
      <c r="O19" s="637"/>
      <c r="P19" s="637"/>
      <c r="Q19" s="635">
        <f>IF(OR(S19="",S20=""),"",S19+S20)</f>
        <v>1</v>
      </c>
      <c r="R19" s="635"/>
      <c r="S19" s="98">
        <v>0</v>
      </c>
      <c r="T19" s="99" t="s">
        <v>7</v>
      </c>
      <c r="U19" s="98">
        <v>0</v>
      </c>
      <c r="V19" s="635">
        <f>IF(OR(U19="",U20=""),"",U19+U20)</f>
        <v>0</v>
      </c>
      <c r="W19" s="635"/>
      <c r="X19" s="636" t="str">
        <f>VLOOKUP(AS19,U12組合せ!B$10:E$19,3,TRUE)</f>
        <v>ＳＵＧＡＯ・ＳＣ</v>
      </c>
      <c r="Y19" s="637"/>
      <c r="Z19" s="637"/>
      <c r="AA19" s="637"/>
      <c r="AB19" s="637"/>
      <c r="AC19" s="637"/>
      <c r="AD19" s="637"/>
      <c r="AE19" s="583"/>
      <c r="AF19" s="583"/>
      <c r="AG19" s="583"/>
      <c r="AH19" s="583"/>
      <c r="AI19" s="634" t="str">
        <f ca="1">DBCS(VLOOKUP(B19,U12対戦スケジュール!A$8:F$11,6,TRUE))</f>
        <v>１／３／３／１</v>
      </c>
      <c r="AJ19" s="583"/>
      <c r="AK19" s="583"/>
      <c r="AL19" s="583"/>
      <c r="AM19" s="583"/>
      <c r="AN19" s="583"/>
      <c r="AO19" s="583"/>
      <c r="AP19" s="583"/>
      <c r="AR19" s="119">
        <v>2</v>
      </c>
      <c r="AS19" s="119">
        <v>4</v>
      </c>
    </row>
    <row r="20" spans="1:45" ht="20.100000000000001" customHeight="1" x14ac:dyDescent="0.4">
      <c r="B20" s="644"/>
      <c r="C20" s="648"/>
      <c r="D20" s="649"/>
      <c r="E20" s="650"/>
      <c r="F20" s="583"/>
      <c r="G20" s="583"/>
      <c r="H20" s="583"/>
      <c r="I20" s="583"/>
      <c r="J20" s="637"/>
      <c r="K20" s="637"/>
      <c r="L20" s="637"/>
      <c r="M20" s="637"/>
      <c r="N20" s="637"/>
      <c r="O20" s="637"/>
      <c r="P20" s="637"/>
      <c r="Q20" s="635"/>
      <c r="R20" s="635"/>
      <c r="S20" s="98">
        <v>1</v>
      </c>
      <c r="T20" s="99" t="s">
        <v>7</v>
      </c>
      <c r="U20" s="98">
        <v>0</v>
      </c>
      <c r="V20" s="635"/>
      <c r="W20" s="635"/>
      <c r="X20" s="637"/>
      <c r="Y20" s="637"/>
      <c r="Z20" s="637"/>
      <c r="AA20" s="637"/>
      <c r="AB20" s="637"/>
      <c r="AC20" s="637"/>
      <c r="AD20" s="637"/>
      <c r="AE20" s="583"/>
      <c r="AF20" s="583"/>
      <c r="AG20" s="583"/>
      <c r="AH20" s="583"/>
      <c r="AI20" s="583"/>
      <c r="AJ20" s="583"/>
      <c r="AK20" s="583"/>
      <c r="AL20" s="583"/>
      <c r="AM20" s="583"/>
      <c r="AN20" s="583"/>
      <c r="AO20" s="583"/>
      <c r="AP20" s="583"/>
      <c r="AR20" s="119"/>
      <c r="AS20" s="119"/>
    </row>
    <row r="21" spans="1:45" ht="20.100000000000001" customHeight="1" x14ac:dyDescent="0.4">
      <c r="B21" s="644" t="str">
        <f ca="1">DBCS(INDIRECT("U12対戦スケジュール!A"&amp;(ROW()-1)/2+2))</f>
        <v/>
      </c>
      <c r="C21" s="723"/>
      <c r="D21" s="723"/>
      <c r="E21" s="723"/>
      <c r="F21" s="583"/>
      <c r="G21" s="583"/>
      <c r="H21" s="583"/>
      <c r="I21" s="583"/>
      <c r="J21" s="721"/>
      <c r="K21" s="722"/>
      <c r="L21" s="722"/>
      <c r="M21" s="722"/>
      <c r="N21" s="722"/>
      <c r="O21" s="722"/>
      <c r="P21" s="722"/>
      <c r="Q21" s="634"/>
      <c r="R21" s="634"/>
      <c r="S21" s="98"/>
      <c r="T21" s="99" t="s">
        <v>7</v>
      </c>
      <c r="U21" s="98"/>
      <c r="V21" s="634"/>
      <c r="W21" s="634"/>
      <c r="X21" s="721"/>
      <c r="Y21" s="722"/>
      <c r="Z21" s="722"/>
      <c r="AA21" s="722"/>
      <c r="AB21" s="722"/>
      <c r="AC21" s="722"/>
      <c r="AD21" s="722"/>
      <c r="AE21" s="583"/>
      <c r="AF21" s="583"/>
      <c r="AG21" s="583"/>
      <c r="AH21" s="583"/>
      <c r="AI21" s="634"/>
      <c r="AJ21" s="583"/>
      <c r="AK21" s="583"/>
      <c r="AL21" s="583"/>
      <c r="AM21" s="583"/>
      <c r="AN21" s="583"/>
      <c r="AO21" s="583"/>
      <c r="AP21" s="583"/>
      <c r="AR21" s="119"/>
      <c r="AS21" s="119"/>
    </row>
    <row r="22" spans="1:45" ht="20.100000000000001" customHeight="1" x14ac:dyDescent="0.4">
      <c r="B22" s="644"/>
      <c r="C22" s="723"/>
      <c r="D22" s="723"/>
      <c r="E22" s="723"/>
      <c r="F22" s="583"/>
      <c r="G22" s="583"/>
      <c r="H22" s="583"/>
      <c r="I22" s="583"/>
      <c r="J22" s="722"/>
      <c r="K22" s="722"/>
      <c r="L22" s="722"/>
      <c r="M22" s="722"/>
      <c r="N22" s="722"/>
      <c r="O22" s="722"/>
      <c r="P22" s="722"/>
      <c r="Q22" s="634"/>
      <c r="R22" s="634"/>
      <c r="S22" s="98"/>
      <c r="T22" s="99" t="s">
        <v>7</v>
      </c>
      <c r="U22" s="98"/>
      <c r="V22" s="634"/>
      <c r="W22" s="634"/>
      <c r="X22" s="722"/>
      <c r="Y22" s="722"/>
      <c r="Z22" s="722"/>
      <c r="AA22" s="722"/>
      <c r="AB22" s="722"/>
      <c r="AC22" s="722"/>
      <c r="AD22" s="722"/>
      <c r="AE22" s="583"/>
      <c r="AF22" s="583"/>
      <c r="AG22" s="583"/>
      <c r="AH22" s="583"/>
      <c r="AI22" s="583"/>
      <c r="AJ22" s="583"/>
      <c r="AK22" s="583"/>
      <c r="AL22" s="583"/>
      <c r="AM22" s="583"/>
      <c r="AN22" s="583"/>
      <c r="AO22" s="583"/>
      <c r="AP22" s="583"/>
      <c r="AR22" s="119"/>
      <c r="AS22" s="119"/>
    </row>
    <row r="23" spans="1:45" ht="20.100000000000001" customHeight="1" x14ac:dyDescent="0.4">
      <c r="B23" s="644"/>
      <c r="C23" s="723"/>
      <c r="D23" s="723"/>
      <c r="E23" s="723"/>
      <c r="F23" s="583"/>
      <c r="G23" s="583"/>
      <c r="H23" s="583"/>
      <c r="I23" s="583"/>
      <c r="J23" s="721"/>
      <c r="K23" s="722"/>
      <c r="L23" s="722"/>
      <c r="M23" s="722"/>
      <c r="N23" s="722"/>
      <c r="O23" s="722"/>
      <c r="P23" s="722"/>
      <c r="Q23" s="634"/>
      <c r="R23" s="634"/>
      <c r="S23" s="98"/>
      <c r="T23" s="99" t="s">
        <v>7</v>
      </c>
      <c r="U23" s="98"/>
      <c r="V23" s="634"/>
      <c r="W23" s="634"/>
      <c r="X23" s="721"/>
      <c r="Y23" s="722"/>
      <c r="Z23" s="722"/>
      <c r="AA23" s="722"/>
      <c r="AB23" s="722"/>
      <c r="AC23" s="722"/>
      <c r="AD23" s="722"/>
      <c r="AE23" s="583"/>
      <c r="AF23" s="583"/>
      <c r="AG23" s="583"/>
      <c r="AH23" s="583"/>
      <c r="AI23" s="634"/>
      <c r="AJ23" s="583"/>
      <c r="AK23" s="583"/>
      <c r="AL23" s="583"/>
      <c r="AM23" s="583"/>
      <c r="AN23" s="583"/>
      <c r="AO23" s="583"/>
      <c r="AP23" s="583"/>
      <c r="AR23" s="119"/>
      <c r="AS23" s="119"/>
    </row>
    <row r="24" spans="1:45" ht="20.100000000000001" customHeight="1" x14ac:dyDescent="0.4">
      <c r="B24" s="644"/>
      <c r="C24" s="723"/>
      <c r="D24" s="723"/>
      <c r="E24" s="723"/>
      <c r="F24" s="583"/>
      <c r="G24" s="583"/>
      <c r="H24" s="583"/>
      <c r="I24" s="583"/>
      <c r="J24" s="722"/>
      <c r="K24" s="722"/>
      <c r="L24" s="722"/>
      <c r="M24" s="722"/>
      <c r="N24" s="722"/>
      <c r="O24" s="722"/>
      <c r="P24" s="722"/>
      <c r="Q24" s="634"/>
      <c r="R24" s="634"/>
      <c r="S24" s="98"/>
      <c r="T24" s="99" t="s">
        <v>7</v>
      </c>
      <c r="U24" s="98"/>
      <c r="V24" s="634"/>
      <c r="W24" s="634"/>
      <c r="X24" s="722"/>
      <c r="Y24" s="722"/>
      <c r="Z24" s="722"/>
      <c r="AA24" s="722"/>
      <c r="AB24" s="722"/>
      <c r="AC24" s="722"/>
      <c r="AD24" s="722"/>
      <c r="AE24" s="583"/>
      <c r="AF24" s="583"/>
      <c r="AG24" s="583"/>
      <c r="AH24" s="583"/>
      <c r="AI24" s="583"/>
      <c r="AJ24" s="583"/>
      <c r="AK24" s="583"/>
      <c r="AL24" s="583"/>
      <c r="AM24" s="583"/>
      <c r="AN24" s="583"/>
      <c r="AO24" s="583"/>
      <c r="AP24" s="583"/>
      <c r="AR24" s="119"/>
      <c r="AS24" s="119"/>
    </row>
    <row r="25" spans="1:45" ht="20.100000000000001" customHeight="1" x14ac:dyDescent="0.4">
      <c r="B25" s="644"/>
      <c r="C25" s="723"/>
      <c r="D25" s="723"/>
      <c r="E25" s="723"/>
      <c r="F25" s="583"/>
      <c r="G25" s="583"/>
      <c r="H25" s="583"/>
      <c r="I25" s="583"/>
      <c r="J25" s="721"/>
      <c r="K25" s="722"/>
      <c r="L25" s="722"/>
      <c r="M25" s="722"/>
      <c r="N25" s="722"/>
      <c r="O25" s="722"/>
      <c r="P25" s="722"/>
      <c r="Q25" s="634"/>
      <c r="R25" s="634"/>
      <c r="S25" s="100"/>
      <c r="T25" s="101"/>
      <c r="U25" s="100"/>
      <c r="V25" s="634"/>
      <c r="W25" s="634"/>
      <c r="X25" s="721"/>
      <c r="Y25" s="722"/>
      <c r="Z25" s="722"/>
      <c r="AA25" s="722"/>
      <c r="AB25" s="722"/>
      <c r="AC25" s="722"/>
      <c r="AD25" s="722"/>
      <c r="AE25" s="583"/>
      <c r="AF25" s="583"/>
      <c r="AG25" s="583"/>
      <c r="AH25" s="583"/>
      <c r="AI25" s="634"/>
      <c r="AJ25" s="583"/>
      <c r="AK25" s="583"/>
      <c r="AL25" s="583"/>
      <c r="AM25" s="583"/>
      <c r="AN25" s="583"/>
      <c r="AO25" s="583"/>
      <c r="AP25" s="583"/>
      <c r="AR25" s="119"/>
      <c r="AS25" s="119"/>
    </row>
    <row r="26" spans="1:45" ht="20.100000000000001" customHeight="1" x14ac:dyDescent="0.4">
      <c r="B26" s="644"/>
      <c r="C26" s="723"/>
      <c r="D26" s="723"/>
      <c r="E26" s="723"/>
      <c r="F26" s="583"/>
      <c r="G26" s="583"/>
      <c r="H26" s="583"/>
      <c r="I26" s="583"/>
      <c r="J26" s="722"/>
      <c r="K26" s="722"/>
      <c r="L26" s="722"/>
      <c r="M26" s="722"/>
      <c r="N26" s="722"/>
      <c r="O26" s="722"/>
      <c r="P26" s="722"/>
      <c r="Q26" s="634"/>
      <c r="R26" s="634"/>
      <c r="S26" s="100"/>
      <c r="T26" s="101"/>
      <c r="U26" s="100"/>
      <c r="V26" s="634"/>
      <c r="W26" s="634"/>
      <c r="X26" s="722"/>
      <c r="Y26" s="722"/>
      <c r="Z26" s="722"/>
      <c r="AA26" s="722"/>
      <c r="AB26" s="722"/>
      <c r="AC26" s="722"/>
      <c r="AD26" s="722"/>
      <c r="AE26" s="583"/>
      <c r="AF26" s="583"/>
      <c r="AG26" s="583"/>
      <c r="AH26" s="583"/>
      <c r="AI26" s="583"/>
      <c r="AJ26" s="583"/>
      <c r="AK26" s="583"/>
      <c r="AL26" s="583"/>
      <c r="AM26" s="583"/>
      <c r="AN26" s="583"/>
      <c r="AO26" s="583"/>
      <c r="AP26" s="583"/>
    </row>
    <row r="27" spans="1:45" ht="15.75" customHeight="1" thickBot="1" x14ac:dyDescent="0.45">
      <c r="A27" s="102"/>
      <c r="B27" s="103"/>
      <c r="C27" s="104"/>
      <c r="D27" s="104"/>
      <c r="E27" s="104"/>
      <c r="F27" s="103"/>
      <c r="G27" s="103"/>
      <c r="H27" s="103"/>
      <c r="I27" s="103"/>
      <c r="J27" s="103"/>
      <c r="K27" s="105"/>
      <c r="L27" s="105"/>
      <c r="M27" s="106"/>
      <c r="N27" s="107"/>
      <c r="O27" s="106"/>
      <c r="P27" s="105"/>
      <c r="Q27" s="105"/>
      <c r="R27" s="103"/>
      <c r="S27" s="103"/>
      <c r="T27" s="103"/>
      <c r="U27" s="103"/>
      <c r="V27" s="103"/>
      <c r="W27" s="108"/>
      <c r="X27" s="108"/>
      <c r="Y27" s="108"/>
      <c r="Z27" s="108"/>
      <c r="AA27" s="108"/>
      <c r="AB27" s="108"/>
      <c r="AC27" s="102"/>
    </row>
    <row r="28" spans="1:45" ht="20.25" customHeight="1" x14ac:dyDescent="0.4">
      <c r="D28" s="714" t="s">
        <v>8</v>
      </c>
      <c r="E28" s="715"/>
      <c r="F28" s="715"/>
      <c r="G28" s="715"/>
      <c r="H28" s="715"/>
      <c r="I28" s="715"/>
      <c r="J28" s="715" t="s">
        <v>5</v>
      </c>
      <c r="K28" s="715"/>
      <c r="L28" s="715"/>
      <c r="M28" s="715"/>
      <c r="N28" s="715"/>
      <c r="O28" s="715"/>
      <c r="P28" s="715"/>
      <c r="Q28" s="715"/>
      <c r="R28" s="614" t="s">
        <v>9</v>
      </c>
      <c r="S28" s="614"/>
      <c r="T28" s="614"/>
      <c r="U28" s="614"/>
      <c r="V28" s="614"/>
      <c r="W28" s="614"/>
      <c r="X28" s="614"/>
      <c r="Y28" s="614"/>
      <c r="Z28" s="614"/>
      <c r="AA28" s="615" t="s">
        <v>10</v>
      </c>
      <c r="AB28" s="615"/>
      <c r="AC28" s="615"/>
      <c r="AD28" s="615" t="s">
        <v>11</v>
      </c>
      <c r="AE28" s="615"/>
      <c r="AF28" s="615"/>
      <c r="AG28" s="615"/>
      <c r="AH28" s="615"/>
      <c r="AI28" s="615"/>
      <c r="AJ28" s="615"/>
      <c r="AK28" s="615"/>
      <c r="AL28" s="615"/>
      <c r="AM28" s="643"/>
    </row>
    <row r="29" spans="1:45" ht="30" customHeight="1" x14ac:dyDescent="0.4">
      <c r="D29" s="718" t="s">
        <v>12</v>
      </c>
      <c r="E29" s="644"/>
      <c r="F29" s="644"/>
      <c r="G29" s="644"/>
      <c r="H29" s="644"/>
      <c r="I29" s="644"/>
      <c r="J29" s="644"/>
      <c r="K29" s="644"/>
      <c r="L29" s="644"/>
      <c r="M29" s="644"/>
      <c r="N29" s="644"/>
      <c r="O29" s="644"/>
      <c r="P29" s="644"/>
      <c r="Q29" s="644"/>
      <c r="R29" s="639"/>
      <c r="S29" s="639"/>
      <c r="T29" s="639"/>
      <c r="U29" s="639"/>
      <c r="V29" s="639"/>
      <c r="W29" s="639"/>
      <c r="X29" s="639"/>
      <c r="Y29" s="639"/>
      <c r="Z29" s="639"/>
      <c r="AA29" s="724"/>
      <c r="AB29" s="724"/>
      <c r="AC29" s="724"/>
      <c r="AD29" s="595"/>
      <c r="AE29" s="595"/>
      <c r="AF29" s="595"/>
      <c r="AG29" s="595"/>
      <c r="AH29" s="595"/>
      <c r="AI29" s="595"/>
      <c r="AJ29" s="595"/>
      <c r="AK29" s="595"/>
      <c r="AL29" s="595"/>
      <c r="AM29" s="596"/>
    </row>
    <row r="30" spans="1:45" ht="30" customHeight="1" x14ac:dyDescent="0.4">
      <c r="D30" s="718" t="s">
        <v>12</v>
      </c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39"/>
      <c r="S30" s="639"/>
      <c r="T30" s="639"/>
      <c r="U30" s="639"/>
      <c r="V30" s="639"/>
      <c r="W30" s="639"/>
      <c r="X30" s="639"/>
      <c r="Y30" s="639"/>
      <c r="Z30" s="639"/>
      <c r="AA30" s="613"/>
      <c r="AB30" s="613"/>
      <c r="AC30" s="613"/>
      <c r="AD30" s="595"/>
      <c r="AE30" s="595"/>
      <c r="AF30" s="595"/>
      <c r="AG30" s="595"/>
      <c r="AH30" s="595"/>
      <c r="AI30" s="595"/>
      <c r="AJ30" s="595"/>
      <c r="AK30" s="595"/>
      <c r="AL30" s="595"/>
      <c r="AM30" s="596"/>
    </row>
    <row r="31" spans="1:45" ht="30" customHeight="1" thickBot="1" x14ac:dyDescent="0.45">
      <c r="D31" s="616" t="s">
        <v>12</v>
      </c>
      <c r="E31" s="617"/>
      <c r="F31" s="617"/>
      <c r="G31" s="617"/>
      <c r="H31" s="617"/>
      <c r="I31" s="617"/>
      <c r="J31" s="617"/>
      <c r="K31" s="617"/>
      <c r="L31" s="617"/>
      <c r="M31" s="617"/>
      <c r="N31" s="617"/>
      <c r="O31" s="617"/>
      <c r="P31" s="617"/>
      <c r="Q31" s="617"/>
      <c r="R31" s="716"/>
      <c r="S31" s="716"/>
      <c r="T31" s="716"/>
      <c r="U31" s="716"/>
      <c r="V31" s="716"/>
      <c r="W31" s="716"/>
      <c r="X31" s="716"/>
      <c r="Y31" s="716"/>
      <c r="Z31" s="716"/>
      <c r="AA31" s="717"/>
      <c r="AB31" s="717"/>
      <c r="AC31" s="717"/>
      <c r="AD31" s="641"/>
      <c r="AE31" s="641"/>
      <c r="AF31" s="641"/>
      <c r="AG31" s="641"/>
      <c r="AH31" s="641"/>
      <c r="AI31" s="641"/>
      <c r="AJ31" s="641"/>
      <c r="AK31" s="641"/>
      <c r="AL31" s="641"/>
      <c r="AM31" s="642"/>
    </row>
    <row r="32" spans="1:45" ht="14.25" customHeight="1" x14ac:dyDescent="0.4">
      <c r="A32" s="115"/>
      <c r="B32" s="640" t="str">
        <f>U12組合せ!$B$1</f>
        <v>ＪＦＡ　Ｕ-１２サッカーリーグ2021（in栃木） 宇都宮地区リーグ戦（前期）</v>
      </c>
      <c r="C32" s="640"/>
      <c r="D32" s="640"/>
      <c r="E32" s="640"/>
      <c r="F32" s="640"/>
      <c r="G32" s="640"/>
      <c r="H32" s="640"/>
      <c r="I32" s="640"/>
      <c r="J32" s="640"/>
      <c r="K32" s="640"/>
      <c r="L32" s="640"/>
      <c r="M32" s="640"/>
      <c r="N32" s="640"/>
      <c r="O32" s="640"/>
      <c r="P32" s="640"/>
      <c r="Q32" s="640"/>
      <c r="R32" s="640"/>
      <c r="S32" s="640"/>
      <c r="T32" s="640"/>
      <c r="U32" s="640"/>
      <c r="V32" s="640"/>
      <c r="W32" s="640"/>
      <c r="X32" s="640"/>
      <c r="Y32" s="640"/>
      <c r="Z32" s="640"/>
      <c r="AA32" s="640"/>
      <c r="AB32" s="640"/>
      <c r="AC32" s="612" t="str">
        <f>"【"&amp;(U12組合せ!$D$3)&amp;"】"</f>
        <v>【Ａ ブロック】</v>
      </c>
      <c r="AD32" s="612"/>
      <c r="AE32" s="612"/>
      <c r="AF32" s="612"/>
      <c r="AG32" s="612"/>
      <c r="AH32" s="612"/>
      <c r="AI32" s="612"/>
      <c r="AJ32" s="612"/>
      <c r="AK32" s="612" t="str">
        <f>"第"&amp;(U12組合せ!$D$21)</f>
        <v>第１節</v>
      </c>
      <c r="AL32" s="612"/>
      <c r="AM32" s="612"/>
      <c r="AN32" s="612"/>
      <c r="AO32" s="612"/>
      <c r="AP32" s="593" t="s">
        <v>302</v>
      </c>
      <c r="AQ32" s="594"/>
    </row>
    <row r="33" spans="1:51" ht="14.25" customHeight="1" x14ac:dyDescent="0.4">
      <c r="A33" s="115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12"/>
      <c r="AD33" s="612"/>
      <c r="AE33" s="612"/>
      <c r="AF33" s="612"/>
      <c r="AG33" s="612"/>
      <c r="AH33" s="612"/>
      <c r="AI33" s="612"/>
      <c r="AJ33" s="612"/>
      <c r="AK33" s="612"/>
      <c r="AL33" s="612"/>
      <c r="AM33" s="612"/>
      <c r="AN33" s="612"/>
      <c r="AO33" s="612"/>
      <c r="AP33" s="594"/>
      <c r="AQ33" s="594"/>
    </row>
    <row r="34" spans="1:51" ht="14.25" customHeight="1" x14ac:dyDescent="0.4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</row>
    <row r="35" spans="1:51" ht="27.75" customHeight="1" x14ac:dyDescent="0.4">
      <c r="C35" s="635" t="s">
        <v>1</v>
      </c>
      <c r="D35" s="635"/>
      <c r="E35" s="635"/>
      <c r="F35" s="635"/>
      <c r="G35" s="725" t="str">
        <f>U12対戦スケジュール!C14</f>
        <v>石井 1 AM</v>
      </c>
      <c r="H35" s="726"/>
      <c r="I35" s="726"/>
      <c r="J35" s="726"/>
      <c r="K35" s="726"/>
      <c r="L35" s="726"/>
      <c r="M35" s="726"/>
      <c r="N35" s="726"/>
      <c r="O35" s="727"/>
      <c r="P35" s="635" t="s">
        <v>0</v>
      </c>
      <c r="Q35" s="635"/>
      <c r="R35" s="635"/>
      <c r="S35" s="635"/>
      <c r="T35" s="636" t="str">
        <f>S37</f>
        <v>ブラッドレスＳＣ</v>
      </c>
      <c r="U35" s="636"/>
      <c r="V35" s="636"/>
      <c r="W35" s="636"/>
      <c r="X35" s="636"/>
      <c r="Y35" s="636"/>
      <c r="Z35" s="636"/>
      <c r="AA35" s="636"/>
      <c r="AB35" s="636"/>
      <c r="AC35" s="635" t="s">
        <v>2</v>
      </c>
      <c r="AD35" s="635"/>
      <c r="AE35" s="635"/>
      <c r="AF35" s="635"/>
      <c r="AG35" s="618">
        <f>U12対戦スケジュール!F3</f>
        <v>44296</v>
      </c>
      <c r="AH35" s="619"/>
      <c r="AI35" s="619"/>
      <c r="AJ35" s="619"/>
      <c r="AK35" s="619"/>
      <c r="AL35" s="619"/>
      <c r="AM35" s="620" t="str">
        <f>"（"&amp;TEXT(AG35,"aaa")&amp;"）"</f>
        <v>（土）</v>
      </c>
      <c r="AN35" s="620"/>
      <c r="AO35" s="621"/>
    </row>
    <row r="36" spans="1:51" ht="15" customHeight="1" x14ac:dyDescent="0.4">
      <c r="C36" s="96" t="str">
        <f>U12組合せ!E24</f>
        <v>A567</v>
      </c>
      <c r="D36" s="102"/>
      <c r="E36" s="102"/>
      <c r="F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95"/>
      <c r="X36" s="95"/>
      <c r="Y36" s="95"/>
      <c r="Z36" s="95"/>
      <c r="AA36" s="95"/>
      <c r="AB36" s="95"/>
      <c r="AC36" s="95"/>
    </row>
    <row r="37" spans="1:51" ht="29.25" customHeight="1" x14ac:dyDescent="0.4">
      <c r="C37" s="637">
        <v>1</v>
      </c>
      <c r="D37" s="637"/>
      <c r="E37" s="584" t="str">
        <f>VLOOKUP(C37,U12組合せ!B$10:K$19,3,TRUE)</f>
        <v>富士見ＳＳＳ</v>
      </c>
      <c r="F37" s="584"/>
      <c r="G37" s="584"/>
      <c r="H37" s="584"/>
      <c r="I37" s="584"/>
      <c r="J37" s="584"/>
      <c r="K37" s="584"/>
      <c r="L37" s="584"/>
      <c r="M37" s="584"/>
      <c r="N37" s="584"/>
      <c r="O37" s="94"/>
      <c r="P37" s="94"/>
      <c r="Q37" s="636">
        <v>5</v>
      </c>
      <c r="R37" s="636"/>
      <c r="S37" s="709" t="str">
        <f>VLOOKUP(Q37,U12組合せ!B$10:K$19,3,TRUE)</f>
        <v>ブラッドレスＳＣ</v>
      </c>
      <c r="T37" s="709"/>
      <c r="U37" s="709"/>
      <c r="V37" s="709"/>
      <c r="W37" s="709"/>
      <c r="X37" s="709"/>
      <c r="Y37" s="709"/>
      <c r="Z37" s="709"/>
      <c r="AA37" s="709"/>
      <c r="AB37" s="709"/>
      <c r="AC37" s="92"/>
      <c r="AD37" s="93"/>
      <c r="AE37" s="637">
        <v>8</v>
      </c>
      <c r="AF37" s="637"/>
      <c r="AG37" s="584" t="str">
        <f>VLOOKUP(AE37,U12組合せ!B$10:'U12組合せ'!K$19,3,TRUE)</f>
        <v>国本ＪＳＣ</v>
      </c>
      <c r="AH37" s="584"/>
      <c r="AI37" s="584"/>
      <c r="AJ37" s="584"/>
      <c r="AK37" s="584"/>
      <c r="AL37" s="584"/>
      <c r="AM37" s="584"/>
      <c r="AN37" s="584"/>
      <c r="AO37" s="584"/>
      <c r="AP37" s="584"/>
    </row>
    <row r="38" spans="1:51" ht="29.25" customHeight="1" x14ac:dyDescent="0.4">
      <c r="C38" s="637">
        <v>2</v>
      </c>
      <c r="D38" s="637"/>
      <c r="E38" s="584" t="str">
        <f>VLOOKUP(C38,U12組合せ!B$10:K$19,3,TRUE)</f>
        <v>石井ＦＣ</v>
      </c>
      <c r="F38" s="584"/>
      <c r="G38" s="584"/>
      <c r="H38" s="584"/>
      <c r="I38" s="584"/>
      <c r="J38" s="584"/>
      <c r="K38" s="584"/>
      <c r="L38" s="584"/>
      <c r="M38" s="584"/>
      <c r="N38" s="584"/>
      <c r="O38" s="94"/>
      <c r="P38" s="94"/>
      <c r="Q38" s="636">
        <v>6</v>
      </c>
      <c r="R38" s="636"/>
      <c r="S38" s="709" t="str">
        <f>VLOOKUP(Q38,U12組合せ!B$10:'U12組合せ'!K$19,3,TRUE)</f>
        <v>Ｓ４スペランツァ</v>
      </c>
      <c r="T38" s="709"/>
      <c r="U38" s="709"/>
      <c r="V38" s="709"/>
      <c r="W38" s="709"/>
      <c r="X38" s="709"/>
      <c r="Y38" s="709"/>
      <c r="Z38" s="709"/>
      <c r="AA38" s="709"/>
      <c r="AB38" s="709"/>
      <c r="AC38" s="92"/>
      <c r="AD38" s="93"/>
      <c r="AE38" s="637">
        <v>9</v>
      </c>
      <c r="AF38" s="637"/>
      <c r="AG38" s="584" t="str">
        <f>VLOOKUP(AE38,U12組合せ!B$10:'U12組合せ'!K$19,3,TRUE)</f>
        <v>本郷北ＦＣ</v>
      </c>
      <c r="AH38" s="584"/>
      <c r="AI38" s="584"/>
      <c r="AJ38" s="584"/>
      <c r="AK38" s="584"/>
      <c r="AL38" s="584"/>
      <c r="AM38" s="584"/>
      <c r="AN38" s="584"/>
      <c r="AO38" s="584"/>
      <c r="AP38" s="584"/>
    </row>
    <row r="39" spans="1:51" ht="29.25" customHeight="1" x14ac:dyDescent="0.4">
      <c r="C39" s="637">
        <v>3</v>
      </c>
      <c r="D39" s="637"/>
      <c r="E39" s="584" t="str">
        <f>VLOOKUP(C39,U12組合せ!B$10:K$19,3,TRUE)</f>
        <v>unionscU12</v>
      </c>
      <c r="F39" s="584"/>
      <c r="G39" s="584"/>
      <c r="H39" s="584"/>
      <c r="I39" s="584"/>
      <c r="J39" s="584"/>
      <c r="K39" s="584"/>
      <c r="L39" s="584"/>
      <c r="M39" s="584"/>
      <c r="N39" s="584"/>
      <c r="O39" s="94"/>
      <c r="P39" s="94"/>
      <c r="Q39" s="636">
        <v>7</v>
      </c>
      <c r="R39" s="636"/>
      <c r="S39" s="709" t="str">
        <f>VLOOKUP(Q39,U12組合せ!B$10:'U12組合せ'!K$19,3,TRUE)</f>
        <v>上河内ＪＳＣ</v>
      </c>
      <c r="T39" s="709"/>
      <c r="U39" s="709"/>
      <c r="V39" s="709"/>
      <c r="W39" s="709"/>
      <c r="X39" s="709"/>
      <c r="Y39" s="709"/>
      <c r="Z39" s="709"/>
      <c r="AA39" s="709"/>
      <c r="AB39" s="709"/>
      <c r="AC39" s="92"/>
      <c r="AD39" s="93"/>
      <c r="AE39" s="637">
        <v>10</v>
      </c>
      <c r="AF39" s="637"/>
      <c r="AG39" s="584" t="str">
        <f>VLOOKUP(AE39,U12組合せ!B$10:'U12組合せ'!K$19,3,TRUE)</f>
        <v>FCアネーロ・U-12</v>
      </c>
      <c r="AH39" s="584"/>
      <c r="AI39" s="584"/>
      <c r="AJ39" s="584"/>
      <c r="AK39" s="584"/>
      <c r="AL39" s="584"/>
      <c r="AM39" s="584"/>
      <c r="AN39" s="584"/>
      <c r="AO39" s="584"/>
      <c r="AP39" s="584"/>
    </row>
    <row r="40" spans="1:51" ht="29.25" customHeight="1" x14ac:dyDescent="0.4">
      <c r="B40" s="102"/>
      <c r="C40" s="637">
        <v>4</v>
      </c>
      <c r="D40" s="637"/>
      <c r="E40" s="584" t="str">
        <f>VLOOKUP(C40,U12組合せ!B$10:K$19,3,TRUE)</f>
        <v>ＳＵＧＡＯ・ＳＣ</v>
      </c>
      <c r="F40" s="584"/>
      <c r="G40" s="584"/>
      <c r="H40" s="584"/>
      <c r="I40" s="584"/>
      <c r="J40" s="584"/>
      <c r="K40" s="584"/>
      <c r="L40" s="584"/>
      <c r="M40" s="584"/>
      <c r="N40" s="584"/>
      <c r="O40" s="94"/>
      <c r="P40" s="94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2"/>
      <c r="AD40" s="94"/>
      <c r="AE40" s="94"/>
      <c r="AF40" s="94"/>
      <c r="AG40" s="94"/>
      <c r="AH40" s="93"/>
      <c r="AI40" s="93"/>
      <c r="AJ40" s="93"/>
      <c r="AK40" s="93"/>
      <c r="AL40" s="93"/>
      <c r="AM40" s="93"/>
      <c r="AN40" s="93"/>
      <c r="AO40" s="93"/>
      <c r="AP40" s="93"/>
    </row>
    <row r="41" spans="1:51" ht="6.75" customHeight="1" x14ac:dyDescent="0.4">
      <c r="O41" s="102"/>
      <c r="P41" s="102"/>
      <c r="AC41" s="95"/>
    </row>
    <row r="42" spans="1:51" ht="6.75" customHeight="1" x14ac:dyDescent="0.4">
      <c r="C42" s="117"/>
      <c r="D42" s="118"/>
      <c r="E42" s="118"/>
      <c r="F42" s="118"/>
      <c r="G42" s="118"/>
      <c r="H42" s="118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18"/>
      <c r="U42" s="102"/>
      <c r="V42" s="118"/>
      <c r="W42" s="102"/>
      <c r="X42" s="118"/>
      <c r="Y42" s="102"/>
      <c r="Z42" s="118"/>
      <c r="AA42" s="102"/>
      <c r="AB42" s="118"/>
      <c r="AC42" s="118"/>
    </row>
    <row r="43" spans="1:51" ht="21" customHeight="1" x14ac:dyDescent="0.4">
      <c r="B43" s="118" t="str">
        <f ca="1">IF(B45="①","【監督会議 8：20～】","【監督会議 12：50～】")</f>
        <v>【監督会議 8：20～】</v>
      </c>
      <c r="H43" s="96" t="s">
        <v>330</v>
      </c>
    </row>
    <row r="44" spans="1:51" ht="20.25" customHeight="1" x14ac:dyDescent="0.4">
      <c r="B44" s="97"/>
      <c r="C44" s="711" t="s">
        <v>3</v>
      </c>
      <c r="D44" s="711"/>
      <c r="E44" s="711"/>
      <c r="F44" s="712" t="s">
        <v>4</v>
      </c>
      <c r="G44" s="712"/>
      <c r="H44" s="712"/>
      <c r="I44" s="712"/>
      <c r="J44" s="711" t="s">
        <v>5</v>
      </c>
      <c r="K44" s="713"/>
      <c r="L44" s="713"/>
      <c r="M44" s="713"/>
      <c r="N44" s="713"/>
      <c r="O44" s="713"/>
      <c r="P44" s="713"/>
      <c r="Q44" s="711" t="s">
        <v>32</v>
      </c>
      <c r="R44" s="711"/>
      <c r="S44" s="711"/>
      <c r="T44" s="711"/>
      <c r="U44" s="711"/>
      <c r="V44" s="711"/>
      <c r="W44" s="711"/>
      <c r="X44" s="711" t="s">
        <v>5</v>
      </c>
      <c r="Y44" s="713"/>
      <c r="Z44" s="713"/>
      <c r="AA44" s="713"/>
      <c r="AB44" s="713"/>
      <c r="AC44" s="713"/>
      <c r="AD44" s="713"/>
      <c r="AE44" s="712" t="s">
        <v>4</v>
      </c>
      <c r="AF44" s="712"/>
      <c r="AG44" s="712"/>
      <c r="AH44" s="712"/>
      <c r="AI44" s="711" t="s">
        <v>6</v>
      </c>
      <c r="AJ44" s="711"/>
      <c r="AK44" s="713"/>
      <c r="AL44" s="713"/>
      <c r="AM44" s="713"/>
      <c r="AN44" s="713"/>
      <c r="AO44" s="713"/>
      <c r="AP44" s="713"/>
    </row>
    <row r="45" spans="1:51" ht="20.100000000000001" customHeight="1" x14ac:dyDescent="0.4">
      <c r="B45" s="644" t="str">
        <f ca="1">DBCS(INDIRECT("U12対戦スケジュール!A"&amp;(ROW()-1)/2-6))</f>
        <v>①</v>
      </c>
      <c r="C45" s="645">
        <f ca="1">INDIRECT("U12対戦スケジュール!B"&amp;(ROW()-1)/2-6)</f>
        <v>0.375</v>
      </c>
      <c r="D45" s="646"/>
      <c r="E45" s="647"/>
      <c r="F45" s="583"/>
      <c r="G45" s="583"/>
      <c r="H45" s="583"/>
      <c r="I45" s="583"/>
      <c r="J45" s="636" t="str">
        <f ca="1">VLOOKUP(AR45,U12組合せ!B$10:E$19,3,TRUE)</f>
        <v>ブラッドレスＳＣ</v>
      </c>
      <c r="K45" s="637"/>
      <c r="L45" s="637"/>
      <c r="M45" s="637"/>
      <c r="N45" s="637"/>
      <c r="O45" s="637"/>
      <c r="P45" s="637"/>
      <c r="Q45" s="635">
        <f>IF(OR(S45="",S46=""),"",S45+S46)</f>
        <v>3</v>
      </c>
      <c r="R45" s="635"/>
      <c r="S45" s="98">
        <v>1</v>
      </c>
      <c r="T45" s="99" t="s">
        <v>7</v>
      </c>
      <c r="U45" s="98">
        <v>5</v>
      </c>
      <c r="V45" s="635">
        <f>IF(OR(U45="",U46=""),"",U45+U46)</f>
        <v>5</v>
      </c>
      <c r="W45" s="635"/>
      <c r="X45" s="636" t="str">
        <f ca="1">VLOOKUP(AS45,U12組合せ!B$10:E$19,3,TRUE)</f>
        <v>Ｓ４スペランツァ</v>
      </c>
      <c r="Y45" s="637"/>
      <c r="Z45" s="637"/>
      <c r="AA45" s="637"/>
      <c r="AB45" s="637"/>
      <c r="AC45" s="637"/>
      <c r="AD45" s="637"/>
      <c r="AE45" s="583"/>
      <c r="AF45" s="583"/>
      <c r="AG45" s="583"/>
      <c r="AH45" s="583"/>
      <c r="AI45" s="634" t="str">
        <f ca="1">DBCS(VLOOKUP(B45,U12対戦スケジュール!A$16:F$18,6,TRUE))</f>
        <v>７／５／６／７</v>
      </c>
      <c r="AJ45" s="583"/>
      <c r="AK45" s="583"/>
      <c r="AL45" s="583"/>
      <c r="AM45" s="583"/>
      <c r="AN45" s="583"/>
      <c r="AO45" s="583"/>
      <c r="AP45" s="583"/>
      <c r="AR45" s="119">
        <f ca="1">VLOOKUP(B45,U12対戦スケジュール!$A$16:AF$18,3,FALSE)</f>
        <v>5</v>
      </c>
      <c r="AS45" s="119">
        <f ca="1">VLOOKUP($B45,U12対戦スケジュール!$A$16:AG$18,5,FALSE)</f>
        <v>6</v>
      </c>
      <c r="AT45" s="119"/>
      <c r="AU45" s="102"/>
      <c r="AV45" s="102"/>
      <c r="AW45" s="102"/>
      <c r="AX45" s="102"/>
      <c r="AY45" s="102"/>
    </row>
    <row r="46" spans="1:51" ht="20.100000000000001" customHeight="1" x14ac:dyDescent="0.4">
      <c r="B46" s="644"/>
      <c r="C46" s="648"/>
      <c r="D46" s="649"/>
      <c r="E46" s="650"/>
      <c r="F46" s="583"/>
      <c r="G46" s="583"/>
      <c r="H46" s="583"/>
      <c r="I46" s="583"/>
      <c r="J46" s="637"/>
      <c r="K46" s="637"/>
      <c r="L46" s="637"/>
      <c r="M46" s="637"/>
      <c r="N46" s="637"/>
      <c r="O46" s="637"/>
      <c r="P46" s="637"/>
      <c r="Q46" s="635"/>
      <c r="R46" s="635"/>
      <c r="S46" s="98">
        <v>2</v>
      </c>
      <c r="T46" s="99" t="s">
        <v>7</v>
      </c>
      <c r="U46" s="98">
        <v>0</v>
      </c>
      <c r="V46" s="635"/>
      <c r="W46" s="635"/>
      <c r="X46" s="637"/>
      <c r="Y46" s="637"/>
      <c r="Z46" s="637"/>
      <c r="AA46" s="637"/>
      <c r="AB46" s="637"/>
      <c r="AC46" s="637"/>
      <c r="AD46" s="637"/>
      <c r="AE46" s="583"/>
      <c r="AF46" s="583"/>
      <c r="AG46" s="583"/>
      <c r="AH46" s="583"/>
      <c r="AI46" s="583"/>
      <c r="AJ46" s="583"/>
      <c r="AK46" s="583"/>
      <c r="AL46" s="583"/>
      <c r="AM46" s="583"/>
      <c r="AN46" s="583"/>
      <c r="AO46" s="583"/>
      <c r="AP46" s="583"/>
      <c r="AR46" s="119"/>
      <c r="AS46" s="119"/>
      <c r="AU46" s="102"/>
      <c r="AV46" s="102"/>
      <c r="AW46" s="102"/>
      <c r="AX46" s="102"/>
      <c r="AY46" s="102"/>
    </row>
    <row r="47" spans="1:51" ht="20.100000000000001" customHeight="1" x14ac:dyDescent="0.4">
      <c r="B47" s="644" t="str">
        <f ca="1">DBCS(INDIRECT("U12対戦スケジュール!A"&amp;(ROW()-1)/2-6))</f>
        <v>②</v>
      </c>
      <c r="C47" s="645">
        <f ca="1">INDIRECT("U12対戦スケジュール!B"&amp;(ROW()-1)/2-6)</f>
        <v>0.41699999999999998</v>
      </c>
      <c r="D47" s="646"/>
      <c r="E47" s="647"/>
      <c r="F47" s="583"/>
      <c r="G47" s="583"/>
      <c r="H47" s="583"/>
      <c r="I47" s="583"/>
      <c r="J47" s="636" t="str">
        <f ca="1">VLOOKUP(AR47,U12組合せ!B$10:E$19,3,TRUE)</f>
        <v>Ｓ４スペランツァ</v>
      </c>
      <c r="K47" s="637"/>
      <c r="L47" s="637"/>
      <c r="M47" s="637"/>
      <c r="N47" s="637"/>
      <c r="O47" s="637"/>
      <c r="P47" s="637"/>
      <c r="Q47" s="635">
        <f>IF(OR(S47="",S48=""),"",S47+S48)</f>
        <v>2</v>
      </c>
      <c r="R47" s="635"/>
      <c r="S47" s="98">
        <v>0</v>
      </c>
      <c r="T47" s="99" t="s">
        <v>7</v>
      </c>
      <c r="U47" s="98">
        <v>1</v>
      </c>
      <c r="V47" s="635">
        <f>IF(OR(U47="",U48=""),"",U47+U48)</f>
        <v>2</v>
      </c>
      <c r="W47" s="635"/>
      <c r="X47" s="636" t="str">
        <f ca="1">VLOOKUP(AS47,U12組合せ!B$10:E$19,3,TRUE)</f>
        <v>上河内ＪＳＣ</v>
      </c>
      <c r="Y47" s="637"/>
      <c r="Z47" s="637"/>
      <c r="AA47" s="637"/>
      <c r="AB47" s="637"/>
      <c r="AC47" s="637"/>
      <c r="AD47" s="637"/>
      <c r="AE47" s="583"/>
      <c r="AF47" s="583"/>
      <c r="AG47" s="583"/>
      <c r="AH47" s="583"/>
      <c r="AI47" s="634" t="str">
        <f ca="1">DBCS(VLOOKUP(B47,U12対戦スケジュール!A$16:F$18,6,TRUE))</f>
        <v>５／６／７／５</v>
      </c>
      <c r="AJ47" s="583"/>
      <c r="AK47" s="583"/>
      <c r="AL47" s="583"/>
      <c r="AM47" s="583"/>
      <c r="AN47" s="583"/>
      <c r="AO47" s="583"/>
      <c r="AP47" s="583"/>
      <c r="AR47" s="119">
        <f ca="1">VLOOKUP(B47,U12対戦スケジュール!A$16:F$18,3,FALSE)</f>
        <v>6</v>
      </c>
      <c r="AS47" s="119">
        <f ca="1">VLOOKUP($B47,U12対戦スケジュール!$A$16:AG$18,5,FALSE)</f>
        <v>7</v>
      </c>
    </row>
    <row r="48" spans="1:51" ht="20.100000000000001" customHeight="1" x14ac:dyDescent="0.4">
      <c r="B48" s="644"/>
      <c r="C48" s="648"/>
      <c r="D48" s="649"/>
      <c r="E48" s="650"/>
      <c r="F48" s="583"/>
      <c r="G48" s="583"/>
      <c r="H48" s="583"/>
      <c r="I48" s="583"/>
      <c r="J48" s="637"/>
      <c r="K48" s="637"/>
      <c r="L48" s="637"/>
      <c r="M48" s="637"/>
      <c r="N48" s="637"/>
      <c r="O48" s="637"/>
      <c r="P48" s="637"/>
      <c r="Q48" s="635"/>
      <c r="R48" s="635"/>
      <c r="S48" s="98">
        <v>2</v>
      </c>
      <c r="T48" s="99" t="s">
        <v>7</v>
      </c>
      <c r="U48" s="98">
        <v>1</v>
      </c>
      <c r="V48" s="635"/>
      <c r="W48" s="635"/>
      <c r="X48" s="637"/>
      <c r="Y48" s="637"/>
      <c r="Z48" s="637"/>
      <c r="AA48" s="637"/>
      <c r="AB48" s="637"/>
      <c r="AC48" s="637"/>
      <c r="AD48" s="637"/>
      <c r="AE48" s="583"/>
      <c r="AF48" s="583"/>
      <c r="AG48" s="583"/>
      <c r="AH48" s="583"/>
      <c r="AI48" s="583"/>
      <c r="AJ48" s="583"/>
      <c r="AK48" s="583"/>
      <c r="AL48" s="583"/>
      <c r="AM48" s="583"/>
      <c r="AN48" s="583"/>
      <c r="AO48" s="583"/>
      <c r="AP48" s="583"/>
      <c r="AR48" s="119"/>
      <c r="AS48" s="119"/>
    </row>
    <row r="49" spans="1:45" ht="20.100000000000001" customHeight="1" x14ac:dyDescent="0.4">
      <c r="B49" s="644" t="str">
        <f ca="1">DBCS(INDIRECT("U12対戦スケジュール!A"&amp;(ROW()-1)/2-6))</f>
        <v>③</v>
      </c>
      <c r="C49" s="645">
        <f ca="1">INDIRECT("U12対戦スケジュール!B"&amp;(ROW()-1)/2-6)</f>
        <v>0.45899999999999996</v>
      </c>
      <c r="D49" s="646"/>
      <c r="E49" s="647"/>
      <c r="F49" s="583"/>
      <c r="G49" s="583"/>
      <c r="H49" s="583"/>
      <c r="I49" s="583"/>
      <c r="J49" s="636" t="str">
        <f ca="1">VLOOKUP(AR49,U12組合せ!B$10:E$19,3,TRUE)</f>
        <v>ブラッドレスＳＣ</v>
      </c>
      <c r="K49" s="637"/>
      <c r="L49" s="637"/>
      <c r="M49" s="637"/>
      <c r="N49" s="637"/>
      <c r="O49" s="637"/>
      <c r="P49" s="637"/>
      <c r="Q49" s="635">
        <f>IF(OR(S49="",S50=""),"",S49+S50)</f>
        <v>0</v>
      </c>
      <c r="R49" s="635"/>
      <c r="S49" s="98">
        <v>0</v>
      </c>
      <c r="T49" s="99" t="s">
        <v>7</v>
      </c>
      <c r="U49" s="98">
        <v>6</v>
      </c>
      <c r="V49" s="635">
        <f>IF(OR(U49="",U50=""),"",U49+U50)</f>
        <v>7</v>
      </c>
      <c r="W49" s="635"/>
      <c r="X49" s="636" t="str">
        <f ca="1">VLOOKUP(AS49,U12組合せ!B$10:E$19,3,TRUE)</f>
        <v>上河内ＪＳＣ</v>
      </c>
      <c r="Y49" s="637"/>
      <c r="Z49" s="637"/>
      <c r="AA49" s="637"/>
      <c r="AB49" s="637"/>
      <c r="AC49" s="637"/>
      <c r="AD49" s="637"/>
      <c r="AE49" s="583"/>
      <c r="AF49" s="583"/>
      <c r="AG49" s="583"/>
      <c r="AH49" s="583"/>
      <c r="AI49" s="634" t="str">
        <f ca="1">DBCS(VLOOKUP(B49,U12対戦スケジュール!A$16:F$18,6,TRUE))</f>
        <v>６／７／５／６</v>
      </c>
      <c r="AJ49" s="583"/>
      <c r="AK49" s="583"/>
      <c r="AL49" s="583"/>
      <c r="AM49" s="583"/>
      <c r="AN49" s="583"/>
      <c r="AO49" s="583"/>
      <c r="AP49" s="583"/>
      <c r="AR49" s="119">
        <f ca="1">VLOOKUP(B49,U12対戦スケジュール!A$16:F$18,3,FALSE)</f>
        <v>5</v>
      </c>
      <c r="AS49" s="119">
        <f ca="1">VLOOKUP($B49,U12対戦スケジュール!$A$16:AG$18,5,FALSE)</f>
        <v>7</v>
      </c>
    </row>
    <row r="50" spans="1:45" ht="20.100000000000001" customHeight="1" x14ac:dyDescent="0.4">
      <c r="B50" s="644"/>
      <c r="C50" s="648"/>
      <c r="D50" s="649"/>
      <c r="E50" s="650"/>
      <c r="F50" s="583"/>
      <c r="G50" s="583"/>
      <c r="H50" s="583"/>
      <c r="I50" s="583"/>
      <c r="J50" s="637"/>
      <c r="K50" s="637"/>
      <c r="L50" s="637"/>
      <c r="M50" s="637"/>
      <c r="N50" s="637"/>
      <c r="O50" s="637"/>
      <c r="P50" s="637"/>
      <c r="Q50" s="635"/>
      <c r="R50" s="635"/>
      <c r="S50" s="98">
        <v>0</v>
      </c>
      <c r="T50" s="99" t="s">
        <v>7</v>
      </c>
      <c r="U50" s="98">
        <v>1</v>
      </c>
      <c r="V50" s="635"/>
      <c r="W50" s="635"/>
      <c r="X50" s="637"/>
      <c r="Y50" s="637"/>
      <c r="Z50" s="637"/>
      <c r="AA50" s="637"/>
      <c r="AB50" s="637"/>
      <c r="AC50" s="637"/>
      <c r="AD50" s="637"/>
      <c r="AE50" s="583"/>
      <c r="AF50" s="583"/>
      <c r="AG50" s="583"/>
      <c r="AH50" s="583"/>
      <c r="AI50" s="583"/>
      <c r="AJ50" s="583"/>
      <c r="AK50" s="583"/>
      <c r="AL50" s="583"/>
      <c r="AM50" s="583"/>
      <c r="AN50" s="583"/>
      <c r="AO50" s="583"/>
      <c r="AP50" s="583"/>
      <c r="AR50" s="119"/>
      <c r="AS50" s="119"/>
    </row>
    <row r="51" spans="1:45" ht="18" customHeight="1" x14ac:dyDescent="0.4">
      <c r="B51" s="586"/>
      <c r="C51" s="739"/>
      <c r="D51" s="740"/>
      <c r="E51" s="741"/>
      <c r="F51" s="704"/>
      <c r="G51" s="704"/>
      <c r="H51" s="704"/>
      <c r="I51" s="704"/>
      <c r="J51" s="701"/>
      <c r="K51" s="702"/>
      <c r="L51" s="702"/>
      <c r="M51" s="702"/>
      <c r="N51" s="702"/>
      <c r="O51" s="702"/>
      <c r="P51" s="702"/>
      <c r="Q51" s="705"/>
      <c r="R51" s="705"/>
      <c r="S51" s="109"/>
      <c r="T51" s="110"/>
      <c r="U51" s="109"/>
      <c r="V51" s="705"/>
      <c r="W51" s="705"/>
      <c r="X51" s="701"/>
      <c r="Y51" s="702"/>
      <c r="Z51" s="702"/>
      <c r="AA51" s="702"/>
      <c r="AB51" s="702"/>
      <c r="AC51" s="702"/>
      <c r="AD51" s="702"/>
      <c r="AE51" s="704"/>
      <c r="AF51" s="704"/>
      <c r="AG51" s="704"/>
      <c r="AH51" s="704"/>
      <c r="AI51" s="706"/>
      <c r="AJ51" s="707"/>
      <c r="AK51" s="707"/>
      <c r="AL51" s="707"/>
      <c r="AM51" s="707"/>
      <c r="AN51" s="707"/>
      <c r="AO51" s="707"/>
      <c r="AP51" s="707"/>
      <c r="AR51" s="119"/>
      <c r="AS51" s="119"/>
    </row>
    <row r="52" spans="1:45" ht="18" customHeight="1" x14ac:dyDescent="0.4">
      <c r="B52" s="644"/>
      <c r="C52" s="648"/>
      <c r="D52" s="649"/>
      <c r="E52" s="650"/>
      <c r="F52" s="583"/>
      <c r="G52" s="583"/>
      <c r="H52" s="583"/>
      <c r="I52" s="583"/>
      <c r="J52" s="703"/>
      <c r="K52" s="703"/>
      <c r="L52" s="703"/>
      <c r="M52" s="703"/>
      <c r="N52" s="703"/>
      <c r="O52" s="703"/>
      <c r="P52" s="703"/>
      <c r="Q52" s="634"/>
      <c r="R52" s="634"/>
      <c r="S52" s="100"/>
      <c r="T52" s="101"/>
      <c r="U52" s="100"/>
      <c r="V52" s="634"/>
      <c r="W52" s="634"/>
      <c r="X52" s="703"/>
      <c r="Y52" s="703"/>
      <c r="Z52" s="703"/>
      <c r="AA52" s="703"/>
      <c r="AB52" s="703"/>
      <c r="AC52" s="703"/>
      <c r="AD52" s="703"/>
      <c r="AE52" s="583"/>
      <c r="AF52" s="583"/>
      <c r="AG52" s="583"/>
      <c r="AH52" s="583"/>
      <c r="AI52" s="708"/>
      <c r="AJ52" s="708"/>
      <c r="AK52" s="708"/>
      <c r="AL52" s="708"/>
      <c r="AM52" s="708"/>
      <c r="AN52" s="708"/>
      <c r="AO52" s="708"/>
      <c r="AP52" s="708"/>
      <c r="AR52" s="119"/>
      <c r="AS52" s="119"/>
    </row>
    <row r="53" spans="1:45" ht="18" customHeight="1" x14ac:dyDescent="0.4">
      <c r="B53" s="644"/>
      <c r="C53" s="645"/>
      <c r="D53" s="646"/>
      <c r="E53" s="647"/>
      <c r="F53" s="583"/>
      <c r="G53" s="583"/>
      <c r="H53" s="583"/>
      <c r="I53" s="583"/>
      <c r="J53" s="720"/>
      <c r="K53" s="703"/>
      <c r="L53" s="703"/>
      <c r="M53" s="703"/>
      <c r="N53" s="703"/>
      <c r="O53" s="703"/>
      <c r="P53" s="703"/>
      <c r="Q53" s="634"/>
      <c r="R53" s="634"/>
      <c r="S53" s="100"/>
      <c r="T53" s="101"/>
      <c r="U53" s="100"/>
      <c r="V53" s="634"/>
      <c r="W53" s="634"/>
      <c r="X53" s="720"/>
      <c r="Y53" s="703"/>
      <c r="Z53" s="703"/>
      <c r="AA53" s="703"/>
      <c r="AB53" s="703"/>
      <c r="AC53" s="703"/>
      <c r="AD53" s="703"/>
      <c r="AE53" s="583"/>
      <c r="AF53" s="583"/>
      <c r="AG53" s="583"/>
      <c r="AH53" s="583"/>
      <c r="AI53" s="719"/>
      <c r="AJ53" s="708"/>
      <c r="AK53" s="708"/>
      <c r="AL53" s="708"/>
      <c r="AM53" s="708"/>
      <c r="AN53" s="708"/>
      <c r="AO53" s="708"/>
      <c r="AP53" s="708"/>
      <c r="AR53" s="119"/>
      <c r="AS53" s="119"/>
    </row>
    <row r="54" spans="1:45" ht="18" customHeight="1" x14ac:dyDescent="0.4">
      <c r="B54" s="644"/>
      <c r="C54" s="648"/>
      <c r="D54" s="649"/>
      <c r="E54" s="650"/>
      <c r="F54" s="583"/>
      <c r="G54" s="583"/>
      <c r="H54" s="583"/>
      <c r="I54" s="583"/>
      <c r="J54" s="703"/>
      <c r="K54" s="703"/>
      <c r="L54" s="703"/>
      <c r="M54" s="703"/>
      <c r="N54" s="703"/>
      <c r="O54" s="703"/>
      <c r="P54" s="703"/>
      <c r="Q54" s="634"/>
      <c r="R54" s="634"/>
      <c r="S54" s="100"/>
      <c r="T54" s="101"/>
      <c r="U54" s="100"/>
      <c r="V54" s="634"/>
      <c r="W54" s="634"/>
      <c r="X54" s="703"/>
      <c r="Y54" s="703"/>
      <c r="Z54" s="703"/>
      <c r="AA54" s="703"/>
      <c r="AB54" s="703"/>
      <c r="AC54" s="703"/>
      <c r="AD54" s="703"/>
      <c r="AE54" s="583"/>
      <c r="AF54" s="583"/>
      <c r="AG54" s="583"/>
      <c r="AH54" s="583"/>
      <c r="AI54" s="708"/>
      <c r="AJ54" s="708"/>
      <c r="AK54" s="708"/>
      <c r="AL54" s="708"/>
      <c r="AM54" s="708"/>
      <c r="AN54" s="708"/>
      <c r="AO54" s="708"/>
      <c r="AP54" s="708"/>
      <c r="AR54" s="119"/>
      <c r="AS54" s="119"/>
    </row>
    <row r="55" spans="1:45" ht="18" customHeight="1" x14ac:dyDescent="0.4">
      <c r="B55" s="644"/>
      <c r="C55" s="645"/>
      <c r="D55" s="646"/>
      <c r="E55" s="647"/>
      <c r="F55" s="583"/>
      <c r="G55" s="583"/>
      <c r="H55" s="583"/>
      <c r="I55" s="583"/>
      <c r="J55" s="720"/>
      <c r="K55" s="703"/>
      <c r="L55" s="703"/>
      <c r="M55" s="703"/>
      <c r="N55" s="703"/>
      <c r="O55" s="703"/>
      <c r="P55" s="703"/>
      <c r="Q55" s="634"/>
      <c r="R55" s="634"/>
      <c r="S55" s="100"/>
      <c r="T55" s="101"/>
      <c r="U55" s="100"/>
      <c r="V55" s="634"/>
      <c r="W55" s="634"/>
      <c r="X55" s="720"/>
      <c r="Y55" s="703"/>
      <c r="Z55" s="703"/>
      <c r="AA55" s="703"/>
      <c r="AB55" s="703"/>
      <c r="AC55" s="703"/>
      <c r="AD55" s="703"/>
      <c r="AE55" s="583"/>
      <c r="AF55" s="583"/>
      <c r="AG55" s="583"/>
      <c r="AH55" s="583"/>
      <c r="AI55" s="719"/>
      <c r="AJ55" s="708"/>
      <c r="AK55" s="708"/>
      <c r="AL55" s="708"/>
      <c r="AM55" s="708"/>
      <c r="AN55" s="708"/>
      <c r="AO55" s="708"/>
      <c r="AP55" s="708"/>
      <c r="AR55" s="119"/>
      <c r="AS55" s="119"/>
    </row>
    <row r="56" spans="1:45" ht="18" customHeight="1" x14ac:dyDescent="0.4">
      <c r="B56" s="644"/>
      <c r="C56" s="648"/>
      <c r="D56" s="649"/>
      <c r="E56" s="650"/>
      <c r="F56" s="583"/>
      <c r="G56" s="583"/>
      <c r="H56" s="583"/>
      <c r="I56" s="583"/>
      <c r="J56" s="703"/>
      <c r="K56" s="703"/>
      <c r="L56" s="703"/>
      <c r="M56" s="703"/>
      <c r="N56" s="703"/>
      <c r="O56" s="703"/>
      <c r="P56" s="703"/>
      <c r="Q56" s="634"/>
      <c r="R56" s="634"/>
      <c r="S56" s="100"/>
      <c r="T56" s="101"/>
      <c r="U56" s="100"/>
      <c r="V56" s="634"/>
      <c r="W56" s="634"/>
      <c r="X56" s="703"/>
      <c r="Y56" s="703"/>
      <c r="Z56" s="703"/>
      <c r="AA56" s="703"/>
      <c r="AB56" s="703"/>
      <c r="AC56" s="703"/>
      <c r="AD56" s="703"/>
      <c r="AE56" s="583"/>
      <c r="AF56" s="583"/>
      <c r="AG56" s="583"/>
      <c r="AH56" s="583"/>
      <c r="AI56" s="708"/>
      <c r="AJ56" s="708"/>
      <c r="AK56" s="708"/>
      <c r="AL56" s="708"/>
      <c r="AM56" s="708"/>
      <c r="AN56" s="708"/>
      <c r="AO56" s="708"/>
      <c r="AP56" s="708"/>
      <c r="AR56" s="119"/>
      <c r="AS56" s="119"/>
    </row>
    <row r="57" spans="1:45" ht="18" customHeight="1" x14ac:dyDescent="0.4">
      <c r="B57" s="644"/>
      <c r="C57" s="723"/>
      <c r="D57" s="723"/>
      <c r="E57" s="723"/>
      <c r="F57" s="583"/>
      <c r="G57" s="583"/>
      <c r="H57" s="583"/>
      <c r="I57" s="583"/>
      <c r="J57" s="721"/>
      <c r="K57" s="722"/>
      <c r="L57" s="722"/>
      <c r="M57" s="722"/>
      <c r="N57" s="722"/>
      <c r="O57" s="722"/>
      <c r="P57" s="722"/>
      <c r="Q57" s="634"/>
      <c r="R57" s="634"/>
      <c r="S57" s="100"/>
      <c r="T57" s="101"/>
      <c r="U57" s="100"/>
      <c r="V57" s="634"/>
      <c r="W57" s="634"/>
      <c r="X57" s="721"/>
      <c r="Y57" s="722"/>
      <c r="Z57" s="722"/>
      <c r="AA57" s="722"/>
      <c r="AB57" s="722"/>
      <c r="AC57" s="722"/>
      <c r="AD57" s="722"/>
      <c r="AE57" s="583"/>
      <c r="AF57" s="583"/>
      <c r="AG57" s="583"/>
      <c r="AH57" s="583"/>
      <c r="AI57" s="634"/>
      <c r="AJ57" s="583"/>
      <c r="AK57" s="583"/>
      <c r="AL57" s="583"/>
      <c r="AM57" s="583"/>
      <c r="AN57" s="583"/>
      <c r="AO57" s="583"/>
      <c r="AP57" s="583"/>
      <c r="AR57" s="119"/>
      <c r="AS57" s="119"/>
    </row>
    <row r="58" spans="1:45" ht="18" customHeight="1" x14ac:dyDescent="0.4">
      <c r="B58" s="644"/>
      <c r="C58" s="723"/>
      <c r="D58" s="723"/>
      <c r="E58" s="723"/>
      <c r="F58" s="583"/>
      <c r="G58" s="583"/>
      <c r="H58" s="583"/>
      <c r="I58" s="583"/>
      <c r="J58" s="722"/>
      <c r="K58" s="722"/>
      <c r="L58" s="722"/>
      <c r="M58" s="722"/>
      <c r="N58" s="722"/>
      <c r="O58" s="722"/>
      <c r="P58" s="722"/>
      <c r="Q58" s="634"/>
      <c r="R58" s="634"/>
      <c r="S58" s="100"/>
      <c r="T58" s="101"/>
      <c r="U58" s="100"/>
      <c r="V58" s="634"/>
      <c r="W58" s="634"/>
      <c r="X58" s="722"/>
      <c r="Y58" s="722"/>
      <c r="Z58" s="722"/>
      <c r="AA58" s="722"/>
      <c r="AB58" s="722"/>
      <c r="AC58" s="722"/>
      <c r="AD58" s="722"/>
      <c r="AE58" s="583"/>
      <c r="AF58" s="583"/>
      <c r="AG58" s="583"/>
      <c r="AH58" s="583"/>
      <c r="AI58" s="583"/>
      <c r="AJ58" s="583"/>
      <c r="AK58" s="583"/>
      <c r="AL58" s="583"/>
      <c r="AM58" s="583"/>
      <c r="AN58" s="583"/>
      <c r="AO58" s="583"/>
      <c r="AP58" s="583"/>
      <c r="AR58" s="119"/>
      <c r="AS58" s="119"/>
    </row>
    <row r="59" spans="1:45" ht="15.75" customHeight="1" thickBot="1" x14ac:dyDescent="0.45">
      <c r="A59" s="102"/>
      <c r="B59" s="103"/>
      <c r="C59" s="104"/>
      <c r="D59" s="104"/>
      <c r="E59" s="104"/>
      <c r="F59" s="103"/>
      <c r="G59" s="103"/>
      <c r="H59" s="103"/>
      <c r="I59" s="103"/>
      <c r="J59" s="103"/>
      <c r="K59" s="105"/>
      <c r="L59" s="105"/>
      <c r="M59" s="106"/>
      <c r="N59" s="107"/>
      <c r="O59" s="106"/>
      <c r="P59" s="105"/>
      <c r="Q59" s="105"/>
      <c r="R59" s="103"/>
      <c r="S59" s="103"/>
      <c r="T59" s="103"/>
      <c r="U59" s="103"/>
      <c r="V59" s="103"/>
      <c r="W59" s="108"/>
      <c r="X59" s="108"/>
      <c r="Y59" s="108"/>
      <c r="Z59" s="108"/>
      <c r="AA59" s="108"/>
      <c r="AB59" s="108"/>
      <c r="AC59" s="102"/>
    </row>
    <row r="60" spans="1:45" ht="20.25" customHeight="1" x14ac:dyDescent="0.4">
      <c r="D60" s="714" t="s">
        <v>8</v>
      </c>
      <c r="E60" s="715"/>
      <c r="F60" s="715"/>
      <c r="G60" s="715"/>
      <c r="H60" s="715"/>
      <c r="I60" s="715"/>
      <c r="J60" s="715" t="s">
        <v>5</v>
      </c>
      <c r="K60" s="715"/>
      <c r="L60" s="715"/>
      <c r="M60" s="715"/>
      <c r="N60" s="715"/>
      <c r="O60" s="715"/>
      <c r="P60" s="715"/>
      <c r="Q60" s="715"/>
      <c r="R60" s="614" t="s">
        <v>9</v>
      </c>
      <c r="S60" s="614"/>
      <c r="T60" s="614"/>
      <c r="U60" s="614"/>
      <c r="V60" s="614"/>
      <c r="W60" s="614"/>
      <c r="X60" s="614"/>
      <c r="Y60" s="614"/>
      <c r="Z60" s="614"/>
      <c r="AA60" s="615" t="s">
        <v>10</v>
      </c>
      <c r="AB60" s="615"/>
      <c r="AC60" s="615"/>
      <c r="AD60" s="615" t="s">
        <v>11</v>
      </c>
      <c r="AE60" s="615"/>
      <c r="AF60" s="615"/>
      <c r="AG60" s="615"/>
      <c r="AH60" s="615"/>
      <c r="AI60" s="615"/>
      <c r="AJ60" s="615"/>
      <c r="AK60" s="615"/>
      <c r="AL60" s="615"/>
      <c r="AM60" s="643"/>
    </row>
    <row r="61" spans="1:45" ht="30" customHeight="1" x14ac:dyDescent="0.4">
      <c r="D61" s="718" t="s">
        <v>12</v>
      </c>
      <c r="E61" s="644"/>
      <c r="F61" s="644"/>
      <c r="G61" s="644"/>
      <c r="H61" s="644"/>
      <c r="I61" s="644"/>
      <c r="J61" s="644"/>
      <c r="K61" s="644"/>
      <c r="L61" s="644"/>
      <c r="M61" s="644"/>
      <c r="N61" s="644"/>
      <c r="O61" s="644"/>
      <c r="P61" s="644"/>
      <c r="Q61" s="644"/>
      <c r="R61" s="639"/>
      <c r="S61" s="639"/>
      <c r="T61" s="639"/>
      <c r="U61" s="639"/>
      <c r="V61" s="639"/>
      <c r="W61" s="639"/>
      <c r="X61" s="639"/>
      <c r="Y61" s="639"/>
      <c r="Z61" s="639"/>
      <c r="AA61" s="724"/>
      <c r="AB61" s="724"/>
      <c r="AC61" s="724"/>
      <c r="AD61" s="595"/>
      <c r="AE61" s="595"/>
      <c r="AF61" s="595"/>
      <c r="AG61" s="595"/>
      <c r="AH61" s="595"/>
      <c r="AI61" s="595"/>
      <c r="AJ61" s="595"/>
      <c r="AK61" s="595"/>
      <c r="AL61" s="595"/>
      <c r="AM61" s="596"/>
    </row>
    <row r="62" spans="1:45" ht="30" customHeight="1" x14ac:dyDescent="0.4">
      <c r="D62" s="718" t="s">
        <v>12</v>
      </c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39"/>
      <c r="S62" s="639"/>
      <c r="T62" s="639"/>
      <c r="U62" s="639"/>
      <c r="V62" s="639"/>
      <c r="W62" s="639"/>
      <c r="X62" s="639"/>
      <c r="Y62" s="639"/>
      <c r="Z62" s="639"/>
      <c r="AA62" s="613"/>
      <c r="AB62" s="613"/>
      <c r="AC62" s="613"/>
      <c r="AD62" s="595"/>
      <c r="AE62" s="595"/>
      <c r="AF62" s="595"/>
      <c r="AG62" s="595"/>
      <c r="AH62" s="595"/>
      <c r="AI62" s="595"/>
      <c r="AJ62" s="595"/>
      <c r="AK62" s="595"/>
      <c r="AL62" s="595"/>
      <c r="AM62" s="596"/>
    </row>
    <row r="63" spans="1:45" ht="30" customHeight="1" thickBot="1" x14ac:dyDescent="0.45">
      <c r="D63" s="616" t="s">
        <v>12</v>
      </c>
      <c r="E63" s="617"/>
      <c r="F63" s="617"/>
      <c r="G63" s="617"/>
      <c r="H63" s="617"/>
      <c r="I63" s="617"/>
      <c r="J63" s="617"/>
      <c r="K63" s="617"/>
      <c r="L63" s="617"/>
      <c r="M63" s="617"/>
      <c r="N63" s="617"/>
      <c r="O63" s="617"/>
      <c r="P63" s="617"/>
      <c r="Q63" s="617"/>
      <c r="R63" s="716"/>
      <c r="S63" s="716"/>
      <c r="T63" s="716"/>
      <c r="U63" s="716"/>
      <c r="V63" s="716"/>
      <c r="W63" s="716"/>
      <c r="X63" s="716"/>
      <c r="Y63" s="716"/>
      <c r="Z63" s="716"/>
      <c r="AA63" s="717"/>
      <c r="AB63" s="717"/>
      <c r="AC63" s="717"/>
      <c r="AD63" s="641"/>
      <c r="AE63" s="641"/>
      <c r="AF63" s="641"/>
      <c r="AG63" s="641"/>
      <c r="AH63" s="641"/>
      <c r="AI63" s="641"/>
      <c r="AJ63" s="641"/>
      <c r="AK63" s="641"/>
      <c r="AL63" s="641"/>
      <c r="AM63" s="642"/>
    </row>
    <row r="64" spans="1:45" ht="14.25" customHeight="1" x14ac:dyDescent="0.4">
      <c r="A64" s="115"/>
      <c r="B64" s="640" t="str">
        <f>U12組合せ!$B$1</f>
        <v>ＪＦＡ　Ｕ-１２サッカーリーグ2021（in栃木） 宇都宮地区リーグ戦（前期）</v>
      </c>
      <c r="C64" s="640"/>
      <c r="D64" s="640"/>
      <c r="E64" s="640"/>
      <c r="F64" s="640"/>
      <c r="G64" s="640"/>
      <c r="H64" s="640"/>
      <c r="I64" s="640"/>
      <c r="J64" s="640"/>
      <c r="K64" s="640"/>
      <c r="L64" s="640"/>
      <c r="M64" s="640"/>
      <c r="N64" s="640"/>
      <c r="O64" s="640"/>
      <c r="P64" s="640"/>
      <c r="Q64" s="640"/>
      <c r="R64" s="640"/>
      <c r="S64" s="640"/>
      <c r="T64" s="640"/>
      <c r="U64" s="640"/>
      <c r="V64" s="640"/>
      <c r="W64" s="640"/>
      <c r="X64" s="640"/>
      <c r="Y64" s="640"/>
      <c r="Z64" s="640"/>
      <c r="AA64" s="640"/>
      <c r="AB64" s="640"/>
      <c r="AC64" s="612" t="str">
        <f>"【"&amp;(U12組合せ!$D$3)&amp;"】"</f>
        <v>【Ａ ブロック】</v>
      </c>
      <c r="AD64" s="612"/>
      <c r="AE64" s="612"/>
      <c r="AF64" s="612"/>
      <c r="AG64" s="612"/>
      <c r="AH64" s="612"/>
      <c r="AI64" s="612"/>
      <c r="AJ64" s="612"/>
      <c r="AK64" s="612" t="str">
        <f>"第"&amp;(U12組合せ!$D$21)</f>
        <v>第１節</v>
      </c>
      <c r="AL64" s="612"/>
      <c r="AM64" s="612"/>
      <c r="AN64" s="612"/>
      <c r="AO64" s="612"/>
      <c r="AP64" s="593" t="s">
        <v>303</v>
      </c>
      <c r="AQ64" s="594"/>
    </row>
    <row r="65" spans="1:47" ht="14.25" customHeight="1" x14ac:dyDescent="0.4">
      <c r="A65" s="115"/>
      <c r="B65" s="640"/>
      <c r="C65" s="640"/>
      <c r="D65" s="640"/>
      <c r="E65" s="640"/>
      <c r="F65" s="640"/>
      <c r="G65" s="640"/>
      <c r="H65" s="640"/>
      <c r="I65" s="640"/>
      <c r="J65" s="640"/>
      <c r="K65" s="640"/>
      <c r="L65" s="640"/>
      <c r="M65" s="640"/>
      <c r="N65" s="640"/>
      <c r="O65" s="640"/>
      <c r="P65" s="640"/>
      <c r="Q65" s="640"/>
      <c r="R65" s="640"/>
      <c r="S65" s="640"/>
      <c r="T65" s="640"/>
      <c r="U65" s="640"/>
      <c r="V65" s="640"/>
      <c r="W65" s="640"/>
      <c r="X65" s="640"/>
      <c r="Y65" s="640"/>
      <c r="Z65" s="640"/>
      <c r="AA65" s="640"/>
      <c r="AB65" s="640"/>
      <c r="AC65" s="612"/>
      <c r="AD65" s="612"/>
      <c r="AE65" s="612"/>
      <c r="AF65" s="612"/>
      <c r="AG65" s="612"/>
      <c r="AH65" s="612"/>
      <c r="AI65" s="612"/>
      <c r="AJ65" s="612"/>
      <c r="AK65" s="612"/>
      <c r="AL65" s="612"/>
      <c r="AM65" s="612"/>
      <c r="AN65" s="612"/>
      <c r="AO65" s="612"/>
      <c r="AP65" s="594"/>
      <c r="AQ65" s="594"/>
    </row>
    <row r="66" spans="1:47" ht="27.75" customHeight="1" x14ac:dyDescent="0.4">
      <c r="C66" s="635" t="s">
        <v>1</v>
      </c>
      <c r="D66" s="635"/>
      <c r="E66" s="635"/>
      <c r="F66" s="635"/>
      <c r="G66" s="636" t="str">
        <f>U12対戦スケジュール!C21</f>
        <v>石井 1 PM</v>
      </c>
      <c r="H66" s="636"/>
      <c r="I66" s="636"/>
      <c r="J66" s="636"/>
      <c r="K66" s="636"/>
      <c r="L66" s="636"/>
      <c r="M66" s="636"/>
      <c r="N66" s="636"/>
      <c r="O66" s="636"/>
      <c r="P66" s="635" t="s">
        <v>0</v>
      </c>
      <c r="Q66" s="635"/>
      <c r="R66" s="635"/>
      <c r="S66" s="635"/>
      <c r="T66" s="636" t="str">
        <f ca="1">X80</f>
        <v>国本ＪＳＣ</v>
      </c>
      <c r="U66" s="636"/>
      <c r="V66" s="636"/>
      <c r="W66" s="636"/>
      <c r="X66" s="636"/>
      <c r="Y66" s="636"/>
      <c r="Z66" s="636"/>
      <c r="AA66" s="636"/>
      <c r="AB66" s="636"/>
      <c r="AC66" s="635" t="s">
        <v>2</v>
      </c>
      <c r="AD66" s="635"/>
      <c r="AE66" s="635"/>
      <c r="AF66" s="635"/>
      <c r="AG66" s="618">
        <f>U12対戦スケジュール!F3</f>
        <v>44296</v>
      </c>
      <c r="AH66" s="619"/>
      <c r="AI66" s="619"/>
      <c r="AJ66" s="619"/>
      <c r="AK66" s="619"/>
      <c r="AL66" s="619"/>
      <c r="AM66" s="620" t="str">
        <f>"（"&amp;TEXT(AG66,"aaa")&amp;"）"</f>
        <v>（土）</v>
      </c>
      <c r="AN66" s="620"/>
      <c r="AO66" s="621"/>
    </row>
    <row r="67" spans="1:47" ht="15" customHeight="1" x14ac:dyDescent="0.4">
      <c r="C67" s="102" t="str">
        <f>U12組合せ!E26</f>
        <v>A8910</v>
      </c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95"/>
      <c r="X67" s="95"/>
      <c r="Y67" s="95"/>
      <c r="Z67" s="95"/>
      <c r="AA67" s="95"/>
      <c r="AB67" s="95"/>
      <c r="AC67" s="95"/>
    </row>
    <row r="68" spans="1:47" ht="29.25" customHeight="1" x14ac:dyDescent="0.4">
      <c r="C68" s="742">
        <v>1</v>
      </c>
      <c r="D68" s="742"/>
      <c r="E68" s="743" t="str">
        <f>VLOOKUP(C68,U12組合せ!B$10:K$19,3,TRUE)</f>
        <v>富士見ＳＳＳ</v>
      </c>
      <c r="F68" s="743"/>
      <c r="G68" s="743"/>
      <c r="H68" s="743"/>
      <c r="I68" s="743"/>
      <c r="J68" s="743"/>
      <c r="K68" s="743"/>
      <c r="L68" s="743"/>
      <c r="M68" s="743"/>
      <c r="N68" s="743"/>
      <c r="O68" s="102"/>
      <c r="P68" s="102"/>
      <c r="Q68" s="742">
        <v>5</v>
      </c>
      <c r="R68" s="742"/>
      <c r="S68" s="743" t="str">
        <f>VLOOKUP(Q68,U12組合せ!B$10:K$19,3,TRUE)</f>
        <v>ブラッドレスＳＣ</v>
      </c>
      <c r="T68" s="743"/>
      <c r="U68" s="743"/>
      <c r="V68" s="743"/>
      <c r="W68" s="743"/>
      <c r="X68" s="743"/>
      <c r="Y68" s="743"/>
      <c r="Z68" s="743"/>
      <c r="AA68" s="743"/>
      <c r="AB68" s="743"/>
      <c r="AC68" s="95"/>
      <c r="AE68" s="745">
        <v>8</v>
      </c>
      <c r="AF68" s="745"/>
      <c r="AG68" s="744" t="str">
        <f>VLOOKUP(AE68,U12組合せ!B$10:'U12組合せ'!K$19,3,TRUE)</f>
        <v>国本ＪＳＣ</v>
      </c>
      <c r="AH68" s="744"/>
      <c r="AI68" s="744"/>
      <c r="AJ68" s="744"/>
      <c r="AK68" s="744"/>
      <c r="AL68" s="744"/>
      <c r="AM68" s="744"/>
      <c r="AN68" s="744"/>
      <c r="AO68" s="744"/>
      <c r="AP68" s="744"/>
    </row>
    <row r="69" spans="1:47" ht="29.25" customHeight="1" x14ac:dyDescent="0.4">
      <c r="C69" s="742">
        <v>2</v>
      </c>
      <c r="D69" s="742"/>
      <c r="E69" s="743" t="str">
        <f>VLOOKUP(C69,U12組合せ!B$10:K$19,3,TRUE)</f>
        <v>石井ＦＣ</v>
      </c>
      <c r="F69" s="743"/>
      <c r="G69" s="743"/>
      <c r="H69" s="743"/>
      <c r="I69" s="743"/>
      <c r="J69" s="743"/>
      <c r="K69" s="743"/>
      <c r="L69" s="743"/>
      <c r="M69" s="743"/>
      <c r="N69" s="743"/>
      <c r="O69" s="102"/>
      <c r="P69" s="102"/>
      <c r="Q69" s="742">
        <v>6</v>
      </c>
      <c r="R69" s="742"/>
      <c r="S69" s="743" t="str">
        <f>VLOOKUP(Q69,U12組合せ!B$10:'U12組合せ'!K$19,3,TRUE)</f>
        <v>Ｓ４スペランツァ</v>
      </c>
      <c r="T69" s="743"/>
      <c r="U69" s="743"/>
      <c r="V69" s="743"/>
      <c r="W69" s="743"/>
      <c r="X69" s="743"/>
      <c r="Y69" s="743"/>
      <c r="Z69" s="743"/>
      <c r="AA69" s="743"/>
      <c r="AB69" s="743"/>
      <c r="AC69" s="95"/>
      <c r="AE69" s="745">
        <v>9</v>
      </c>
      <c r="AF69" s="745"/>
      <c r="AG69" s="744" t="str">
        <f>VLOOKUP(AE69,U12組合せ!B$10:'U12組合せ'!K$19,3,TRUE)</f>
        <v>本郷北ＦＣ</v>
      </c>
      <c r="AH69" s="744"/>
      <c r="AI69" s="744"/>
      <c r="AJ69" s="744"/>
      <c r="AK69" s="744"/>
      <c r="AL69" s="744"/>
      <c r="AM69" s="744"/>
      <c r="AN69" s="744"/>
      <c r="AO69" s="744"/>
      <c r="AP69" s="744"/>
    </row>
    <row r="70" spans="1:47" ht="29.25" customHeight="1" x14ac:dyDescent="0.4">
      <c r="C70" s="742">
        <v>3</v>
      </c>
      <c r="D70" s="742"/>
      <c r="E70" s="743" t="str">
        <f>VLOOKUP(C70,U12組合せ!B$10:K$19,3,TRUE)</f>
        <v>unionscU12</v>
      </c>
      <c r="F70" s="743"/>
      <c r="G70" s="743"/>
      <c r="H70" s="743"/>
      <c r="I70" s="743"/>
      <c r="J70" s="743"/>
      <c r="K70" s="743"/>
      <c r="L70" s="743"/>
      <c r="M70" s="743"/>
      <c r="N70" s="743"/>
      <c r="O70" s="102"/>
      <c r="P70" s="102"/>
      <c r="Q70" s="742">
        <v>7</v>
      </c>
      <c r="R70" s="742"/>
      <c r="S70" s="743" t="str">
        <f>VLOOKUP(Q70,U12組合せ!B$10:'U12組合せ'!K$19,3,TRUE)</f>
        <v>上河内ＪＳＣ</v>
      </c>
      <c r="T70" s="743"/>
      <c r="U70" s="743"/>
      <c r="V70" s="743"/>
      <c r="W70" s="743"/>
      <c r="X70" s="743"/>
      <c r="Y70" s="743"/>
      <c r="Z70" s="743"/>
      <c r="AA70" s="743"/>
      <c r="AB70" s="743"/>
      <c r="AC70" s="95"/>
      <c r="AE70" s="745">
        <v>10</v>
      </c>
      <c r="AF70" s="745"/>
      <c r="AG70" s="744" t="str">
        <f>VLOOKUP(AE70,U12組合せ!B$10:'U12組合せ'!K$19,3,TRUE)</f>
        <v>FCアネーロ・U-12</v>
      </c>
      <c r="AH70" s="744"/>
      <c r="AI70" s="744"/>
      <c r="AJ70" s="744"/>
      <c r="AK70" s="744"/>
      <c r="AL70" s="744"/>
      <c r="AM70" s="744"/>
      <c r="AN70" s="744"/>
      <c r="AO70" s="744"/>
      <c r="AP70" s="744"/>
    </row>
    <row r="71" spans="1:47" ht="29.25" customHeight="1" x14ac:dyDescent="0.4">
      <c r="B71" s="102"/>
      <c r="C71" s="742">
        <v>4</v>
      </c>
      <c r="D71" s="742"/>
      <c r="E71" s="743" t="str">
        <f>VLOOKUP(C71,U12組合せ!B$10:K$19,3,TRUE)</f>
        <v>ＳＵＧＡＯ・ＳＣ</v>
      </c>
      <c r="F71" s="743"/>
      <c r="G71" s="743"/>
      <c r="H71" s="743"/>
      <c r="I71" s="743"/>
      <c r="J71" s="743"/>
      <c r="K71" s="743"/>
      <c r="L71" s="743"/>
      <c r="M71" s="743"/>
      <c r="N71" s="743"/>
      <c r="O71" s="102"/>
      <c r="P71" s="102"/>
      <c r="AC71" s="95"/>
      <c r="AD71" s="102"/>
      <c r="AE71" s="102"/>
      <c r="AF71" s="102"/>
      <c r="AG71" s="102"/>
    </row>
    <row r="72" spans="1:47" ht="6" customHeight="1" x14ac:dyDescent="0.4">
      <c r="O72" s="102"/>
      <c r="P72" s="102"/>
      <c r="AC72" s="95"/>
    </row>
    <row r="73" spans="1:47" ht="6" customHeight="1" x14ac:dyDescent="0.4">
      <c r="C73" s="117"/>
      <c r="D73" s="118"/>
      <c r="E73" s="118"/>
      <c r="F73" s="118"/>
      <c r="G73" s="118"/>
      <c r="H73" s="118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18"/>
      <c r="U73" s="102"/>
      <c r="V73" s="118"/>
      <c r="W73" s="102"/>
      <c r="X73" s="118"/>
      <c r="Y73" s="102"/>
      <c r="Z73" s="118"/>
      <c r="AA73" s="102"/>
      <c r="AB73" s="118"/>
      <c r="AC73" s="118"/>
    </row>
    <row r="74" spans="1:47" ht="21" customHeight="1" x14ac:dyDescent="0.4">
      <c r="B74" s="118" t="str">
        <f ca="1">IF(B76="①","【監督会議 8：20～】","【監督会議 12：50～】")</f>
        <v>【監督会議 12：50～】</v>
      </c>
      <c r="I74" s="96" t="s">
        <v>330</v>
      </c>
    </row>
    <row r="75" spans="1:47" ht="20.25" customHeight="1" x14ac:dyDescent="0.4">
      <c r="B75" s="97"/>
      <c r="C75" s="711" t="s">
        <v>3</v>
      </c>
      <c r="D75" s="711"/>
      <c r="E75" s="711"/>
      <c r="F75" s="712" t="s">
        <v>4</v>
      </c>
      <c r="G75" s="712"/>
      <c r="H75" s="712"/>
      <c r="I75" s="712"/>
      <c r="J75" s="711" t="s">
        <v>5</v>
      </c>
      <c r="K75" s="713"/>
      <c r="L75" s="713"/>
      <c r="M75" s="713"/>
      <c r="N75" s="713"/>
      <c r="O75" s="713"/>
      <c r="P75" s="713"/>
      <c r="Q75" s="711" t="s">
        <v>32</v>
      </c>
      <c r="R75" s="711"/>
      <c r="S75" s="711"/>
      <c r="T75" s="711"/>
      <c r="U75" s="711"/>
      <c r="V75" s="711"/>
      <c r="W75" s="711"/>
      <c r="X75" s="711" t="s">
        <v>5</v>
      </c>
      <c r="Y75" s="713"/>
      <c r="Z75" s="713"/>
      <c r="AA75" s="713"/>
      <c r="AB75" s="713"/>
      <c r="AC75" s="713"/>
      <c r="AD75" s="713"/>
      <c r="AE75" s="712" t="s">
        <v>4</v>
      </c>
      <c r="AF75" s="712"/>
      <c r="AG75" s="712"/>
      <c r="AH75" s="712"/>
      <c r="AI75" s="711" t="s">
        <v>6</v>
      </c>
      <c r="AJ75" s="711"/>
      <c r="AK75" s="713"/>
      <c r="AL75" s="713"/>
      <c r="AM75" s="713"/>
      <c r="AN75" s="713"/>
      <c r="AO75" s="713"/>
      <c r="AP75" s="713"/>
      <c r="AU75" s="102"/>
    </row>
    <row r="76" spans="1:47" ht="20.100000000000001" customHeight="1" x14ac:dyDescent="0.4">
      <c r="B76" s="644" t="str">
        <f ca="1">DBCS(INDIRECT("U12対戦スケジュール!A"&amp;(ROW())/2-15))</f>
        <v>④</v>
      </c>
      <c r="C76" s="645">
        <f>U12対戦スケジュール!B23</f>
        <v>0.5625</v>
      </c>
      <c r="D76" s="646"/>
      <c r="E76" s="647"/>
      <c r="F76" s="583"/>
      <c r="G76" s="583"/>
      <c r="H76" s="583"/>
      <c r="I76" s="583"/>
      <c r="J76" s="636" t="str">
        <f ca="1">VLOOKUP(AR76,U12組合せ!B$10:E$19,3,TRUE)</f>
        <v>国本ＪＳＣ</v>
      </c>
      <c r="K76" s="637"/>
      <c r="L76" s="637"/>
      <c r="M76" s="637"/>
      <c r="N76" s="637"/>
      <c r="O76" s="637"/>
      <c r="P76" s="637"/>
      <c r="Q76" s="635">
        <f>IF(OR(S76="",S77=""),"",S76+S77)</f>
        <v>5</v>
      </c>
      <c r="R76" s="635"/>
      <c r="S76" s="98">
        <v>4</v>
      </c>
      <c r="T76" s="99" t="s">
        <v>7</v>
      </c>
      <c r="U76" s="98">
        <v>0</v>
      </c>
      <c r="V76" s="635">
        <f>IF(OR(U76="",U77=""),"",U76+U77)</f>
        <v>0</v>
      </c>
      <c r="W76" s="635"/>
      <c r="X76" s="636" t="str">
        <f ca="1">VLOOKUP(AS76,U12組合せ!B$10:E$19,3,TRUE)</f>
        <v>本郷北ＦＣ</v>
      </c>
      <c r="Y76" s="637"/>
      <c r="Z76" s="637"/>
      <c r="AA76" s="637"/>
      <c r="AB76" s="637"/>
      <c r="AC76" s="637"/>
      <c r="AD76" s="637"/>
      <c r="AE76" s="583"/>
      <c r="AF76" s="583"/>
      <c r="AG76" s="583"/>
      <c r="AH76" s="583"/>
      <c r="AI76" s="634" t="str">
        <f ca="1">DBCS(VLOOKUP(B76,U12対戦スケジュール!A$23:F$25,6,TRUE))</f>
        <v>１０／８／９／１０</v>
      </c>
      <c r="AJ76" s="583"/>
      <c r="AK76" s="583"/>
      <c r="AL76" s="583"/>
      <c r="AM76" s="583"/>
      <c r="AN76" s="583"/>
      <c r="AO76" s="583"/>
      <c r="AP76" s="583"/>
      <c r="AR76" s="119">
        <f ca="1">VLOOKUP(B76,U12対戦スケジュール!A$23:F$25,3,FALSE)</f>
        <v>8</v>
      </c>
      <c r="AS76" s="119">
        <f ca="1">VLOOKUP(B76,U12対戦スケジュール!A$23:F$25,5,FALSE)</f>
        <v>9</v>
      </c>
      <c r="AT76" s="119"/>
      <c r="AU76" s="102"/>
    </row>
    <row r="77" spans="1:47" ht="20.100000000000001" customHeight="1" x14ac:dyDescent="0.4">
      <c r="B77" s="644"/>
      <c r="C77" s="648"/>
      <c r="D77" s="649"/>
      <c r="E77" s="650"/>
      <c r="F77" s="583"/>
      <c r="G77" s="583"/>
      <c r="H77" s="583"/>
      <c r="I77" s="583"/>
      <c r="J77" s="637"/>
      <c r="K77" s="637"/>
      <c r="L77" s="637"/>
      <c r="M77" s="637"/>
      <c r="N77" s="637"/>
      <c r="O77" s="637"/>
      <c r="P77" s="637"/>
      <c r="Q77" s="635"/>
      <c r="R77" s="635"/>
      <c r="S77" s="98">
        <v>1</v>
      </c>
      <c r="T77" s="99" t="s">
        <v>7</v>
      </c>
      <c r="U77" s="98">
        <v>0</v>
      </c>
      <c r="V77" s="635"/>
      <c r="W77" s="635"/>
      <c r="X77" s="637"/>
      <c r="Y77" s="637"/>
      <c r="Z77" s="637"/>
      <c r="AA77" s="637"/>
      <c r="AB77" s="637"/>
      <c r="AC77" s="637"/>
      <c r="AD77" s="637"/>
      <c r="AE77" s="583"/>
      <c r="AF77" s="583"/>
      <c r="AG77" s="583"/>
      <c r="AH77" s="583"/>
      <c r="AI77" s="583"/>
      <c r="AJ77" s="583"/>
      <c r="AK77" s="583"/>
      <c r="AL77" s="583"/>
      <c r="AM77" s="583"/>
      <c r="AN77" s="583"/>
      <c r="AO77" s="583"/>
      <c r="AP77" s="583"/>
      <c r="AR77" s="119"/>
      <c r="AS77" s="119"/>
      <c r="AU77" s="102"/>
    </row>
    <row r="78" spans="1:47" ht="20.100000000000001" customHeight="1" x14ac:dyDescent="0.4">
      <c r="B78" s="644" t="str">
        <f ca="1">DBCS(INDIRECT("U12対戦スケジュール!A"&amp;(ROW())/2-15))</f>
        <v>⑤</v>
      </c>
      <c r="C78" s="645">
        <f>U12対戦スケジュール!B24</f>
        <v>0.60450000000000004</v>
      </c>
      <c r="D78" s="646"/>
      <c r="E78" s="647"/>
      <c r="F78" s="583"/>
      <c r="G78" s="583"/>
      <c r="H78" s="583"/>
      <c r="I78" s="583"/>
      <c r="J78" s="636" t="str">
        <f ca="1">VLOOKUP(AR78,U12組合せ!B$10:E$19,3,TRUE)</f>
        <v>FCアネーロ・U-12</v>
      </c>
      <c r="K78" s="637"/>
      <c r="L78" s="637"/>
      <c r="M78" s="637"/>
      <c r="N78" s="637"/>
      <c r="O78" s="637"/>
      <c r="P78" s="637"/>
      <c r="Q78" s="635">
        <f>IF(OR(S78="",S79=""),"",S78+S79)</f>
        <v>2</v>
      </c>
      <c r="R78" s="635"/>
      <c r="S78" s="98">
        <v>2</v>
      </c>
      <c r="T78" s="99" t="s">
        <v>7</v>
      </c>
      <c r="U78" s="98">
        <v>1</v>
      </c>
      <c r="V78" s="635">
        <f>IF(OR(U78="",U79=""),"",U78+U79)</f>
        <v>2</v>
      </c>
      <c r="W78" s="635"/>
      <c r="X78" s="636" t="str">
        <f ca="1">VLOOKUP(AS78,U12組合せ!B$10:E$19,3,TRUE)</f>
        <v>本郷北ＦＣ</v>
      </c>
      <c r="Y78" s="637"/>
      <c r="Z78" s="637"/>
      <c r="AA78" s="637"/>
      <c r="AB78" s="637"/>
      <c r="AC78" s="637"/>
      <c r="AD78" s="637"/>
      <c r="AE78" s="583"/>
      <c r="AF78" s="583"/>
      <c r="AG78" s="583"/>
      <c r="AH78" s="583"/>
      <c r="AI78" s="634" t="str">
        <f ca="1">DBCS(VLOOKUP(B78,U12対戦スケジュール!A$23:F$25,6,TRUE))</f>
        <v>８／９／１０／８</v>
      </c>
      <c r="AJ78" s="583"/>
      <c r="AK78" s="583"/>
      <c r="AL78" s="583"/>
      <c r="AM78" s="583"/>
      <c r="AN78" s="583"/>
      <c r="AO78" s="583"/>
      <c r="AP78" s="583"/>
      <c r="AR78" s="119">
        <f ca="1">VLOOKUP(B78,U12対戦スケジュール!A$23:F$25,3,FALSE)</f>
        <v>10</v>
      </c>
      <c r="AS78" s="119">
        <f ca="1">VLOOKUP(B78,U12対戦スケジュール!A$23:F$25,5,FALSE)</f>
        <v>9</v>
      </c>
      <c r="AU78" s="102"/>
    </row>
    <row r="79" spans="1:47" ht="20.100000000000001" customHeight="1" x14ac:dyDescent="0.4">
      <c r="B79" s="644"/>
      <c r="C79" s="648"/>
      <c r="D79" s="649"/>
      <c r="E79" s="650"/>
      <c r="F79" s="583"/>
      <c r="G79" s="583"/>
      <c r="H79" s="583"/>
      <c r="I79" s="583"/>
      <c r="J79" s="637"/>
      <c r="K79" s="637"/>
      <c r="L79" s="637"/>
      <c r="M79" s="637"/>
      <c r="N79" s="637"/>
      <c r="O79" s="637"/>
      <c r="P79" s="637"/>
      <c r="Q79" s="635"/>
      <c r="R79" s="635"/>
      <c r="S79" s="98">
        <v>0</v>
      </c>
      <c r="T79" s="99" t="s">
        <v>7</v>
      </c>
      <c r="U79" s="98">
        <v>1</v>
      </c>
      <c r="V79" s="635"/>
      <c r="W79" s="635"/>
      <c r="X79" s="637"/>
      <c r="Y79" s="637"/>
      <c r="Z79" s="637"/>
      <c r="AA79" s="637"/>
      <c r="AB79" s="637"/>
      <c r="AC79" s="637"/>
      <c r="AD79" s="637"/>
      <c r="AE79" s="583"/>
      <c r="AF79" s="583"/>
      <c r="AG79" s="583"/>
      <c r="AH79" s="583"/>
      <c r="AI79" s="583"/>
      <c r="AJ79" s="583"/>
      <c r="AK79" s="583"/>
      <c r="AL79" s="583"/>
      <c r="AM79" s="583"/>
      <c r="AN79" s="583"/>
      <c r="AO79" s="583"/>
      <c r="AP79" s="583"/>
      <c r="AR79" s="119"/>
      <c r="AS79" s="119"/>
    </row>
    <row r="80" spans="1:47" ht="20.100000000000001" customHeight="1" x14ac:dyDescent="0.4">
      <c r="B80" s="644" t="str">
        <f ca="1">DBCS(INDIRECT("U12対戦スケジュール!A"&amp;(ROW())/2-15))</f>
        <v>⑥</v>
      </c>
      <c r="C80" s="645">
        <f>U12対戦スケジュール!B25</f>
        <v>0.64650000000000007</v>
      </c>
      <c r="D80" s="646"/>
      <c r="E80" s="647"/>
      <c r="F80" s="583"/>
      <c r="G80" s="583"/>
      <c r="H80" s="583"/>
      <c r="I80" s="583"/>
      <c r="J80" s="636" t="str">
        <f ca="1">VLOOKUP(AR80,U12組合せ!B$10:E$19,3,TRUE)</f>
        <v>FCアネーロ・U-12</v>
      </c>
      <c r="K80" s="637"/>
      <c r="L80" s="637"/>
      <c r="M80" s="637"/>
      <c r="N80" s="637"/>
      <c r="O80" s="637"/>
      <c r="P80" s="637"/>
      <c r="Q80" s="635">
        <f>IF(OR(S80="",S81=""),"",S80+S81)</f>
        <v>1</v>
      </c>
      <c r="R80" s="635"/>
      <c r="S80" s="98">
        <v>0</v>
      </c>
      <c r="T80" s="99" t="s">
        <v>7</v>
      </c>
      <c r="U80" s="98">
        <v>3</v>
      </c>
      <c r="V80" s="635">
        <f>IF(OR(U80="",U81=""),"",U80+U81)</f>
        <v>4</v>
      </c>
      <c r="W80" s="635"/>
      <c r="X80" s="636" t="str">
        <f ca="1">VLOOKUP(AS80,U12組合せ!B$10:E$19,3,TRUE)</f>
        <v>国本ＪＳＣ</v>
      </c>
      <c r="Y80" s="637"/>
      <c r="Z80" s="637"/>
      <c r="AA80" s="637"/>
      <c r="AB80" s="637"/>
      <c r="AC80" s="637"/>
      <c r="AD80" s="637"/>
      <c r="AE80" s="583"/>
      <c r="AF80" s="583"/>
      <c r="AG80" s="583"/>
      <c r="AH80" s="583"/>
      <c r="AI80" s="634" t="str">
        <f ca="1">DBCS(VLOOKUP(B80,U12対戦スケジュール!A$23:F$25,6,TRUE))</f>
        <v>９／１０／８／９</v>
      </c>
      <c r="AJ80" s="583"/>
      <c r="AK80" s="583"/>
      <c r="AL80" s="583"/>
      <c r="AM80" s="583"/>
      <c r="AN80" s="583"/>
      <c r="AO80" s="583"/>
      <c r="AP80" s="583"/>
      <c r="AR80" s="119">
        <f ca="1">VLOOKUP(B80,U12対戦スケジュール!A$23:F$25,3,FALSE)</f>
        <v>10</v>
      </c>
      <c r="AS80" s="119">
        <f ca="1">VLOOKUP(B80,U12対戦スケジュール!A$23:F$25,5,FALSE)</f>
        <v>8</v>
      </c>
    </row>
    <row r="81" spans="1:45" ht="20.100000000000001" customHeight="1" x14ac:dyDescent="0.4">
      <c r="B81" s="644"/>
      <c r="C81" s="648"/>
      <c r="D81" s="649"/>
      <c r="E81" s="650"/>
      <c r="F81" s="583"/>
      <c r="G81" s="583"/>
      <c r="H81" s="583"/>
      <c r="I81" s="583"/>
      <c r="J81" s="637"/>
      <c r="K81" s="637"/>
      <c r="L81" s="637"/>
      <c r="M81" s="637"/>
      <c r="N81" s="637"/>
      <c r="O81" s="637"/>
      <c r="P81" s="637"/>
      <c r="Q81" s="635"/>
      <c r="R81" s="635"/>
      <c r="S81" s="98">
        <v>1</v>
      </c>
      <c r="T81" s="99" t="s">
        <v>7</v>
      </c>
      <c r="U81" s="98">
        <v>1</v>
      </c>
      <c r="V81" s="635"/>
      <c r="W81" s="635"/>
      <c r="X81" s="637"/>
      <c r="Y81" s="637"/>
      <c r="Z81" s="637"/>
      <c r="AA81" s="637"/>
      <c r="AB81" s="637"/>
      <c r="AC81" s="637"/>
      <c r="AD81" s="637"/>
      <c r="AE81" s="583"/>
      <c r="AF81" s="583"/>
      <c r="AG81" s="583"/>
      <c r="AH81" s="583"/>
      <c r="AI81" s="583"/>
      <c r="AJ81" s="583"/>
      <c r="AK81" s="583"/>
      <c r="AL81" s="583"/>
      <c r="AM81" s="583"/>
      <c r="AN81" s="583"/>
      <c r="AO81" s="583"/>
      <c r="AP81" s="583"/>
      <c r="AR81" s="119"/>
      <c r="AS81" s="119"/>
    </row>
    <row r="82" spans="1:45" ht="20.100000000000001" customHeight="1" x14ac:dyDescent="0.4">
      <c r="B82" s="586"/>
      <c r="C82" s="739"/>
      <c r="D82" s="740"/>
      <c r="E82" s="741"/>
      <c r="F82" s="704"/>
      <c r="G82" s="704"/>
      <c r="H82" s="704"/>
      <c r="I82" s="704"/>
      <c r="J82" s="701"/>
      <c r="K82" s="702"/>
      <c r="L82" s="702"/>
      <c r="M82" s="702"/>
      <c r="N82" s="702"/>
      <c r="O82" s="702"/>
      <c r="P82" s="702"/>
      <c r="Q82" s="705"/>
      <c r="R82" s="705"/>
      <c r="S82" s="109"/>
      <c r="T82" s="110"/>
      <c r="U82" s="109"/>
      <c r="V82" s="705"/>
      <c r="W82" s="705"/>
      <c r="X82" s="701"/>
      <c r="Y82" s="702"/>
      <c r="Z82" s="702"/>
      <c r="AA82" s="702"/>
      <c r="AB82" s="702"/>
      <c r="AC82" s="702"/>
      <c r="AD82" s="702"/>
      <c r="AE82" s="704"/>
      <c r="AF82" s="704"/>
      <c r="AG82" s="704"/>
      <c r="AH82" s="704"/>
      <c r="AI82" s="706"/>
      <c r="AJ82" s="707"/>
      <c r="AK82" s="707"/>
      <c r="AL82" s="707"/>
      <c r="AM82" s="707"/>
      <c r="AN82" s="707"/>
      <c r="AO82" s="707"/>
      <c r="AP82" s="707"/>
      <c r="AR82" s="119"/>
      <c r="AS82" s="119"/>
    </row>
    <row r="83" spans="1:45" ht="20.100000000000001" customHeight="1" x14ac:dyDescent="0.4">
      <c r="B83" s="644"/>
      <c r="C83" s="648"/>
      <c r="D83" s="649"/>
      <c r="E83" s="650"/>
      <c r="F83" s="583"/>
      <c r="G83" s="583"/>
      <c r="H83" s="583"/>
      <c r="I83" s="583"/>
      <c r="J83" s="703"/>
      <c r="K83" s="703"/>
      <c r="L83" s="703"/>
      <c r="M83" s="703"/>
      <c r="N83" s="703"/>
      <c r="O83" s="703"/>
      <c r="P83" s="703"/>
      <c r="Q83" s="634"/>
      <c r="R83" s="634"/>
      <c r="S83" s="100"/>
      <c r="T83" s="101"/>
      <c r="U83" s="100"/>
      <c r="V83" s="634"/>
      <c r="W83" s="634"/>
      <c r="X83" s="703"/>
      <c r="Y83" s="703"/>
      <c r="Z83" s="703"/>
      <c r="AA83" s="703"/>
      <c r="AB83" s="703"/>
      <c r="AC83" s="703"/>
      <c r="AD83" s="703"/>
      <c r="AE83" s="583"/>
      <c r="AF83" s="583"/>
      <c r="AG83" s="583"/>
      <c r="AH83" s="583"/>
      <c r="AI83" s="708"/>
      <c r="AJ83" s="708"/>
      <c r="AK83" s="708"/>
      <c r="AL83" s="708"/>
      <c r="AM83" s="708"/>
      <c r="AN83" s="708"/>
      <c r="AO83" s="708"/>
      <c r="AP83" s="708"/>
      <c r="AR83" s="119"/>
      <c r="AS83" s="119"/>
    </row>
    <row r="84" spans="1:45" ht="20.100000000000001" customHeight="1" x14ac:dyDescent="0.4">
      <c r="B84" s="585"/>
      <c r="C84" s="587"/>
      <c r="D84" s="588"/>
      <c r="E84" s="589"/>
      <c r="F84" s="622"/>
      <c r="G84" s="623"/>
      <c r="H84" s="623"/>
      <c r="I84" s="624"/>
      <c r="J84" s="689"/>
      <c r="K84" s="690"/>
      <c r="L84" s="690"/>
      <c r="M84" s="690"/>
      <c r="N84" s="690"/>
      <c r="O84" s="690"/>
      <c r="P84" s="691"/>
      <c r="Q84" s="628"/>
      <c r="R84" s="630"/>
      <c r="S84" s="100"/>
      <c r="T84" s="101"/>
      <c r="U84" s="100"/>
      <c r="V84" s="628"/>
      <c r="W84" s="630"/>
      <c r="X84" s="695"/>
      <c r="Y84" s="696"/>
      <c r="Z84" s="696"/>
      <c r="AA84" s="696"/>
      <c r="AB84" s="696"/>
      <c r="AC84" s="696"/>
      <c r="AD84" s="697"/>
      <c r="AE84" s="622"/>
      <c r="AF84" s="623"/>
      <c r="AG84" s="623"/>
      <c r="AH84" s="624"/>
      <c r="AI84" s="628"/>
      <c r="AJ84" s="629"/>
      <c r="AK84" s="629"/>
      <c r="AL84" s="629"/>
      <c r="AM84" s="629"/>
      <c r="AN84" s="629"/>
      <c r="AO84" s="629"/>
      <c r="AP84" s="630"/>
    </row>
    <row r="85" spans="1:45" ht="20.100000000000001" customHeight="1" x14ac:dyDescent="0.4">
      <c r="B85" s="586"/>
      <c r="C85" s="590"/>
      <c r="D85" s="591"/>
      <c r="E85" s="592"/>
      <c r="F85" s="625"/>
      <c r="G85" s="626"/>
      <c r="H85" s="626"/>
      <c r="I85" s="627"/>
      <c r="J85" s="692"/>
      <c r="K85" s="693"/>
      <c r="L85" s="693"/>
      <c r="M85" s="693"/>
      <c r="N85" s="693"/>
      <c r="O85" s="693"/>
      <c r="P85" s="694"/>
      <c r="Q85" s="631"/>
      <c r="R85" s="633"/>
      <c r="S85" s="100"/>
      <c r="T85" s="101"/>
      <c r="U85" s="100"/>
      <c r="V85" s="631"/>
      <c r="W85" s="633"/>
      <c r="X85" s="698"/>
      <c r="Y85" s="699"/>
      <c r="Z85" s="699"/>
      <c r="AA85" s="699"/>
      <c r="AB85" s="699"/>
      <c r="AC85" s="699"/>
      <c r="AD85" s="700"/>
      <c r="AE85" s="625"/>
      <c r="AF85" s="626"/>
      <c r="AG85" s="626"/>
      <c r="AH85" s="627"/>
      <c r="AI85" s="631"/>
      <c r="AJ85" s="632"/>
      <c r="AK85" s="632"/>
      <c r="AL85" s="632"/>
      <c r="AM85" s="632"/>
      <c r="AN85" s="632"/>
      <c r="AO85" s="632"/>
      <c r="AP85" s="633"/>
    </row>
    <row r="86" spans="1:45" ht="20.100000000000001" customHeight="1" x14ac:dyDescent="0.4">
      <c r="B86" s="585"/>
      <c r="C86" s="587"/>
      <c r="D86" s="588"/>
      <c r="E86" s="589"/>
      <c r="F86" s="622"/>
      <c r="G86" s="623"/>
      <c r="H86" s="623"/>
      <c r="I86" s="624"/>
      <c r="J86" s="689"/>
      <c r="K86" s="690"/>
      <c r="L86" s="690"/>
      <c r="M86" s="690"/>
      <c r="N86" s="690"/>
      <c r="O86" s="690"/>
      <c r="P86" s="691"/>
      <c r="Q86" s="628"/>
      <c r="R86" s="630"/>
      <c r="S86" s="100"/>
      <c r="T86" s="101"/>
      <c r="U86" s="100"/>
      <c r="V86" s="628"/>
      <c r="W86" s="630"/>
      <c r="X86" s="695"/>
      <c r="Y86" s="696"/>
      <c r="Z86" s="696"/>
      <c r="AA86" s="696"/>
      <c r="AB86" s="696"/>
      <c r="AC86" s="696"/>
      <c r="AD86" s="697"/>
      <c r="AE86" s="622"/>
      <c r="AF86" s="623"/>
      <c r="AG86" s="623"/>
      <c r="AH86" s="624"/>
      <c r="AI86" s="628"/>
      <c r="AJ86" s="629"/>
      <c r="AK86" s="629"/>
      <c r="AL86" s="629"/>
      <c r="AM86" s="629"/>
      <c r="AN86" s="629"/>
      <c r="AO86" s="629"/>
      <c r="AP86" s="630"/>
    </row>
    <row r="87" spans="1:45" ht="20.100000000000001" customHeight="1" x14ac:dyDescent="0.4">
      <c r="B87" s="586"/>
      <c r="C87" s="590"/>
      <c r="D87" s="591"/>
      <c r="E87" s="592"/>
      <c r="F87" s="625"/>
      <c r="G87" s="626"/>
      <c r="H87" s="626"/>
      <c r="I87" s="627"/>
      <c r="J87" s="692"/>
      <c r="K87" s="693"/>
      <c r="L87" s="693"/>
      <c r="M87" s="693"/>
      <c r="N87" s="693"/>
      <c r="O87" s="693"/>
      <c r="P87" s="694"/>
      <c r="Q87" s="631"/>
      <c r="R87" s="633"/>
      <c r="S87" s="100"/>
      <c r="T87" s="101"/>
      <c r="U87" s="100"/>
      <c r="V87" s="631"/>
      <c r="W87" s="633"/>
      <c r="X87" s="698"/>
      <c r="Y87" s="699"/>
      <c r="Z87" s="699"/>
      <c r="AA87" s="699"/>
      <c r="AB87" s="699"/>
      <c r="AC87" s="699"/>
      <c r="AD87" s="700"/>
      <c r="AE87" s="625"/>
      <c r="AF87" s="626"/>
      <c r="AG87" s="626"/>
      <c r="AH87" s="627"/>
      <c r="AI87" s="631"/>
      <c r="AJ87" s="632"/>
      <c r="AK87" s="632"/>
      <c r="AL87" s="632"/>
      <c r="AM87" s="632"/>
      <c r="AN87" s="632"/>
      <c r="AO87" s="632"/>
      <c r="AP87" s="633"/>
    </row>
    <row r="88" spans="1:45" ht="20.100000000000001" customHeight="1" x14ac:dyDescent="0.4">
      <c r="B88" s="585"/>
      <c r="C88" s="587"/>
      <c r="D88" s="588"/>
      <c r="E88" s="589"/>
      <c r="F88" s="622"/>
      <c r="G88" s="623"/>
      <c r="H88" s="623"/>
      <c r="I88" s="624"/>
      <c r="J88" s="689"/>
      <c r="K88" s="690"/>
      <c r="L88" s="690"/>
      <c r="M88" s="690"/>
      <c r="N88" s="690"/>
      <c r="O88" s="690"/>
      <c r="P88" s="691"/>
      <c r="Q88" s="628"/>
      <c r="R88" s="630"/>
      <c r="S88" s="100"/>
      <c r="T88" s="101"/>
      <c r="U88" s="100"/>
      <c r="V88" s="628"/>
      <c r="W88" s="630"/>
      <c r="X88" s="695"/>
      <c r="Y88" s="696"/>
      <c r="Z88" s="696"/>
      <c r="AA88" s="696"/>
      <c r="AB88" s="696"/>
      <c r="AC88" s="696"/>
      <c r="AD88" s="697"/>
      <c r="AE88" s="622"/>
      <c r="AF88" s="623"/>
      <c r="AG88" s="623"/>
      <c r="AH88" s="624"/>
      <c r="AI88" s="628"/>
      <c r="AJ88" s="629"/>
      <c r="AK88" s="629"/>
      <c r="AL88" s="629"/>
      <c r="AM88" s="629"/>
      <c r="AN88" s="629"/>
      <c r="AO88" s="629"/>
      <c r="AP88" s="630"/>
    </row>
    <row r="89" spans="1:45" ht="20.100000000000001" customHeight="1" x14ac:dyDescent="0.4">
      <c r="B89" s="586"/>
      <c r="C89" s="590"/>
      <c r="D89" s="591"/>
      <c r="E89" s="592"/>
      <c r="F89" s="625"/>
      <c r="G89" s="626"/>
      <c r="H89" s="626"/>
      <c r="I89" s="627"/>
      <c r="J89" s="692"/>
      <c r="K89" s="693"/>
      <c r="L89" s="693"/>
      <c r="M89" s="693"/>
      <c r="N89" s="693"/>
      <c r="O89" s="693"/>
      <c r="P89" s="694"/>
      <c r="Q89" s="631"/>
      <c r="R89" s="633"/>
      <c r="S89" s="100"/>
      <c r="T89" s="101"/>
      <c r="U89" s="100"/>
      <c r="V89" s="631"/>
      <c r="W89" s="633"/>
      <c r="X89" s="698"/>
      <c r="Y89" s="699"/>
      <c r="Z89" s="699"/>
      <c r="AA89" s="699"/>
      <c r="AB89" s="699"/>
      <c r="AC89" s="699"/>
      <c r="AD89" s="700"/>
      <c r="AE89" s="625"/>
      <c r="AF89" s="626"/>
      <c r="AG89" s="626"/>
      <c r="AH89" s="627"/>
      <c r="AI89" s="631"/>
      <c r="AJ89" s="632"/>
      <c r="AK89" s="632"/>
      <c r="AL89" s="632"/>
      <c r="AM89" s="632"/>
      <c r="AN89" s="632"/>
      <c r="AO89" s="632"/>
      <c r="AP89" s="633"/>
    </row>
    <row r="90" spans="1:45" ht="15.75" customHeight="1" thickBot="1" x14ac:dyDescent="0.45">
      <c r="A90" s="102"/>
      <c r="B90" s="103"/>
      <c r="C90" s="104"/>
      <c r="D90" s="104"/>
      <c r="E90" s="104"/>
      <c r="F90" s="103"/>
      <c r="G90" s="103"/>
      <c r="H90" s="103"/>
      <c r="I90" s="103"/>
      <c r="J90" s="103"/>
      <c r="K90" s="105"/>
      <c r="L90" s="105"/>
      <c r="M90" s="106"/>
      <c r="N90" s="107"/>
      <c r="O90" s="106"/>
      <c r="P90" s="105"/>
      <c r="Q90" s="105"/>
      <c r="R90" s="103"/>
      <c r="S90" s="103"/>
      <c r="T90" s="103"/>
      <c r="U90" s="103"/>
      <c r="V90" s="103"/>
      <c r="W90" s="108"/>
      <c r="X90" s="108"/>
      <c r="Y90" s="108"/>
      <c r="Z90" s="108"/>
      <c r="AA90" s="108"/>
      <c r="AB90" s="108"/>
      <c r="AC90" s="102"/>
    </row>
    <row r="91" spans="1:45" ht="20.25" customHeight="1" thickBot="1" x14ac:dyDescent="0.45">
      <c r="D91" s="664" t="s">
        <v>8</v>
      </c>
      <c r="E91" s="665"/>
      <c r="F91" s="665"/>
      <c r="G91" s="665"/>
      <c r="H91" s="665"/>
      <c r="I91" s="666"/>
      <c r="J91" s="667" t="s">
        <v>5</v>
      </c>
      <c r="K91" s="665"/>
      <c r="L91" s="665"/>
      <c r="M91" s="665"/>
      <c r="N91" s="665"/>
      <c r="O91" s="665"/>
      <c r="P91" s="665"/>
      <c r="Q91" s="666"/>
      <c r="R91" s="668" t="s">
        <v>9</v>
      </c>
      <c r="S91" s="669"/>
      <c r="T91" s="669"/>
      <c r="U91" s="669"/>
      <c r="V91" s="669"/>
      <c r="W91" s="669"/>
      <c r="X91" s="669"/>
      <c r="Y91" s="669"/>
      <c r="Z91" s="670"/>
      <c r="AA91" s="609" t="s">
        <v>10</v>
      </c>
      <c r="AB91" s="610"/>
      <c r="AC91" s="671"/>
      <c r="AD91" s="609" t="s">
        <v>11</v>
      </c>
      <c r="AE91" s="610"/>
      <c r="AF91" s="610"/>
      <c r="AG91" s="610"/>
      <c r="AH91" s="610"/>
      <c r="AI91" s="610"/>
      <c r="AJ91" s="610"/>
      <c r="AK91" s="610"/>
      <c r="AL91" s="610"/>
      <c r="AM91" s="611"/>
    </row>
    <row r="92" spans="1:45" ht="30" customHeight="1" x14ac:dyDescent="0.4">
      <c r="D92" s="651" t="s">
        <v>298</v>
      </c>
      <c r="E92" s="652"/>
      <c r="F92" s="652"/>
      <c r="G92" s="652"/>
      <c r="H92" s="652"/>
      <c r="I92" s="653"/>
      <c r="J92" s="654"/>
      <c r="K92" s="652"/>
      <c r="L92" s="652"/>
      <c r="M92" s="652"/>
      <c r="N92" s="652"/>
      <c r="O92" s="652"/>
      <c r="P92" s="652"/>
      <c r="Q92" s="653"/>
      <c r="R92" s="655"/>
      <c r="S92" s="656"/>
      <c r="T92" s="656"/>
      <c r="U92" s="656"/>
      <c r="V92" s="656"/>
      <c r="W92" s="656"/>
      <c r="X92" s="656"/>
      <c r="Y92" s="656"/>
      <c r="Z92" s="657"/>
      <c r="AA92" s="658"/>
      <c r="AB92" s="659"/>
      <c r="AC92" s="660"/>
      <c r="AD92" s="661"/>
      <c r="AE92" s="662"/>
      <c r="AF92" s="662"/>
      <c r="AG92" s="662"/>
      <c r="AH92" s="662"/>
      <c r="AI92" s="662"/>
      <c r="AJ92" s="662"/>
      <c r="AK92" s="662"/>
      <c r="AL92" s="662"/>
      <c r="AM92" s="663"/>
    </row>
    <row r="93" spans="1:45" ht="30" customHeight="1" x14ac:dyDescent="0.4">
      <c r="D93" s="688" t="s">
        <v>12</v>
      </c>
      <c r="E93" s="604"/>
      <c r="F93" s="604"/>
      <c r="G93" s="604"/>
      <c r="H93" s="604"/>
      <c r="I93" s="605"/>
      <c r="J93" s="603"/>
      <c r="K93" s="604"/>
      <c r="L93" s="604"/>
      <c r="M93" s="604"/>
      <c r="N93" s="604"/>
      <c r="O93" s="604"/>
      <c r="P93" s="604"/>
      <c r="Q93" s="605"/>
      <c r="R93" s="606"/>
      <c r="S93" s="607"/>
      <c r="T93" s="607"/>
      <c r="U93" s="607"/>
      <c r="V93" s="607"/>
      <c r="W93" s="607"/>
      <c r="X93" s="607"/>
      <c r="Y93" s="607"/>
      <c r="Z93" s="608"/>
      <c r="AA93" s="606"/>
      <c r="AB93" s="607"/>
      <c r="AC93" s="608"/>
      <c r="AD93" s="672"/>
      <c r="AE93" s="673"/>
      <c r="AF93" s="673"/>
      <c r="AG93" s="673"/>
      <c r="AH93" s="673"/>
      <c r="AI93" s="673"/>
      <c r="AJ93" s="673"/>
      <c r="AK93" s="673"/>
      <c r="AL93" s="673"/>
      <c r="AM93" s="674"/>
    </row>
    <row r="94" spans="1:45" ht="30" customHeight="1" thickBot="1" x14ac:dyDescent="0.45">
      <c r="D94" s="675" t="s">
        <v>12</v>
      </c>
      <c r="E94" s="676"/>
      <c r="F94" s="676"/>
      <c r="G94" s="676"/>
      <c r="H94" s="676"/>
      <c r="I94" s="677"/>
      <c r="J94" s="678"/>
      <c r="K94" s="676"/>
      <c r="L94" s="676"/>
      <c r="M94" s="676"/>
      <c r="N94" s="676"/>
      <c r="O94" s="676"/>
      <c r="P94" s="676"/>
      <c r="Q94" s="677"/>
      <c r="R94" s="679"/>
      <c r="S94" s="680"/>
      <c r="T94" s="680"/>
      <c r="U94" s="680"/>
      <c r="V94" s="680"/>
      <c r="W94" s="680"/>
      <c r="X94" s="680"/>
      <c r="Y94" s="680"/>
      <c r="Z94" s="681"/>
      <c r="AA94" s="682"/>
      <c r="AB94" s="683"/>
      <c r="AC94" s="684"/>
      <c r="AD94" s="685"/>
      <c r="AE94" s="686"/>
      <c r="AF94" s="686"/>
      <c r="AG94" s="686"/>
      <c r="AH94" s="686"/>
      <c r="AI94" s="686"/>
      <c r="AJ94" s="686"/>
      <c r="AK94" s="686"/>
      <c r="AL94" s="686"/>
      <c r="AM94" s="687"/>
    </row>
    <row r="95" spans="1:45" ht="14.25" customHeight="1" x14ac:dyDescent="0.4">
      <c r="A95" s="115"/>
      <c r="B95" s="640" t="str">
        <f>U12組合せ!$B$1</f>
        <v>ＪＦＡ　Ｕ-１２サッカーリーグ2021（in栃木） 宇都宮地区リーグ戦（前期）</v>
      </c>
      <c r="C95" s="640"/>
      <c r="D95" s="640"/>
      <c r="E95" s="640"/>
      <c r="F95" s="640"/>
      <c r="G95" s="640"/>
      <c r="H95" s="640"/>
      <c r="I95" s="640"/>
      <c r="J95" s="640"/>
      <c r="K95" s="640"/>
      <c r="L95" s="640"/>
      <c r="M95" s="640"/>
      <c r="N95" s="640"/>
      <c r="O95" s="640"/>
      <c r="P95" s="640"/>
      <c r="Q95" s="640"/>
      <c r="R95" s="640"/>
      <c r="S95" s="640"/>
      <c r="T95" s="640"/>
      <c r="U95" s="640"/>
      <c r="V95" s="640"/>
      <c r="W95" s="640"/>
      <c r="X95" s="640"/>
      <c r="Y95" s="640"/>
      <c r="Z95" s="640"/>
      <c r="AA95" s="640"/>
      <c r="AB95" s="640"/>
      <c r="AC95" s="612" t="str">
        <f>"【"&amp;(U12組合せ!$D$3)&amp;"】"</f>
        <v>【Ａ ブロック】</v>
      </c>
      <c r="AD95" s="612"/>
      <c r="AE95" s="612"/>
      <c r="AF95" s="612"/>
      <c r="AG95" s="612"/>
      <c r="AH95" s="612"/>
      <c r="AI95" s="612"/>
      <c r="AJ95" s="612"/>
      <c r="AK95" s="612" t="str">
        <f>"第"&amp;(U12組合せ!$D$27)</f>
        <v>第２節</v>
      </c>
      <c r="AL95" s="612"/>
      <c r="AM95" s="612"/>
      <c r="AN95" s="612"/>
      <c r="AO95" s="612"/>
      <c r="AP95" s="593" t="s">
        <v>304</v>
      </c>
      <c r="AQ95" s="594"/>
    </row>
    <row r="96" spans="1:45" ht="14.25" customHeight="1" x14ac:dyDescent="0.4">
      <c r="A96" s="115"/>
      <c r="B96" s="640"/>
      <c r="C96" s="640"/>
      <c r="D96" s="640"/>
      <c r="E96" s="640"/>
      <c r="F96" s="640"/>
      <c r="G96" s="640"/>
      <c r="H96" s="640"/>
      <c r="I96" s="640"/>
      <c r="J96" s="640"/>
      <c r="K96" s="640"/>
      <c r="L96" s="640"/>
      <c r="M96" s="640"/>
      <c r="N96" s="640"/>
      <c r="O96" s="640"/>
      <c r="P96" s="640"/>
      <c r="Q96" s="640"/>
      <c r="R96" s="640"/>
      <c r="S96" s="640"/>
      <c r="T96" s="640"/>
      <c r="U96" s="640"/>
      <c r="V96" s="640"/>
      <c r="W96" s="640"/>
      <c r="X96" s="640"/>
      <c r="Y96" s="640"/>
      <c r="Z96" s="640"/>
      <c r="AA96" s="640"/>
      <c r="AB96" s="640"/>
      <c r="AC96" s="612"/>
      <c r="AD96" s="612"/>
      <c r="AE96" s="612"/>
      <c r="AF96" s="612"/>
      <c r="AG96" s="612"/>
      <c r="AH96" s="612"/>
      <c r="AI96" s="612"/>
      <c r="AJ96" s="612"/>
      <c r="AK96" s="612"/>
      <c r="AL96" s="612"/>
      <c r="AM96" s="612"/>
      <c r="AN96" s="612"/>
      <c r="AO96" s="612"/>
      <c r="AP96" s="594"/>
      <c r="AQ96" s="594"/>
    </row>
    <row r="97" spans="1:45" ht="27.75" customHeight="1" x14ac:dyDescent="0.4">
      <c r="C97" s="635" t="s">
        <v>1</v>
      </c>
      <c r="D97" s="635"/>
      <c r="E97" s="635"/>
      <c r="F97" s="635"/>
      <c r="G97" s="725" t="str">
        <f>U12対戦スケジュール!C30</f>
        <v>GP白沢北 PM</v>
      </c>
      <c r="H97" s="726">
        <f>U12対戦スケジュール!H28</f>
        <v>0</v>
      </c>
      <c r="I97" s="726">
        <f>U12対戦スケジュール!I28</f>
        <v>0</v>
      </c>
      <c r="J97" s="726">
        <f>U12対戦スケジュール!J28</f>
        <v>0</v>
      </c>
      <c r="K97" s="726">
        <f>U12対戦スケジュール!K28</f>
        <v>0</v>
      </c>
      <c r="L97" s="726">
        <f>U12対戦スケジュール!L28</f>
        <v>0</v>
      </c>
      <c r="M97" s="726">
        <f>U12対戦スケジュール!M28</f>
        <v>0</v>
      </c>
      <c r="N97" s="726">
        <f>U12対戦スケジュール!N28</f>
        <v>0</v>
      </c>
      <c r="O97" s="727">
        <f>U12対戦スケジュール!O28</f>
        <v>0</v>
      </c>
      <c r="P97" s="635" t="s">
        <v>0</v>
      </c>
      <c r="Q97" s="635"/>
      <c r="R97" s="635"/>
      <c r="S97" s="635"/>
      <c r="T97" s="636" t="str">
        <f>E102</f>
        <v>ＳＵＧＡＯ・ＳＣ</v>
      </c>
      <c r="U97" s="636"/>
      <c r="V97" s="636"/>
      <c r="W97" s="636"/>
      <c r="X97" s="636"/>
      <c r="Y97" s="636"/>
      <c r="Z97" s="636"/>
      <c r="AA97" s="636"/>
      <c r="AB97" s="636"/>
      <c r="AC97" s="635" t="s">
        <v>2</v>
      </c>
      <c r="AD97" s="635"/>
      <c r="AE97" s="635"/>
      <c r="AF97" s="635"/>
      <c r="AG97" s="618">
        <f>U12対戦スケジュール!F27</f>
        <v>44310</v>
      </c>
      <c r="AH97" s="619"/>
      <c r="AI97" s="619"/>
      <c r="AJ97" s="619"/>
      <c r="AK97" s="619"/>
      <c r="AL97" s="619"/>
      <c r="AM97" s="620" t="str">
        <f>"（"&amp;TEXT(AG97,"aaa")&amp;"）"</f>
        <v>（土）</v>
      </c>
      <c r="AN97" s="620"/>
      <c r="AO97" s="621"/>
    </row>
    <row r="98" spans="1:45" ht="15" customHeight="1" x14ac:dyDescent="0.4">
      <c r="C98" s="96" t="str">
        <f>U12対戦スケジュール!C29</f>
        <v>A1458</v>
      </c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95"/>
      <c r="X98" s="95"/>
      <c r="Y98" s="95"/>
      <c r="Z98" s="95"/>
      <c r="AA98" s="95"/>
      <c r="AB98" s="95"/>
      <c r="AC98" s="95"/>
    </row>
    <row r="99" spans="1:45" s="134" customFormat="1" ht="29.25" customHeight="1" x14ac:dyDescent="0.4">
      <c r="A99" s="96"/>
      <c r="B99" s="96"/>
      <c r="C99" s="636">
        <v>1</v>
      </c>
      <c r="D99" s="636"/>
      <c r="E99" s="709" t="str">
        <f>VLOOKUP(C99,U12組合せ!B$10:K$19,3,TRUE)</f>
        <v>富士見ＳＳＳ</v>
      </c>
      <c r="F99" s="709"/>
      <c r="G99" s="709"/>
      <c r="H99" s="709"/>
      <c r="I99" s="709"/>
      <c r="J99" s="709"/>
      <c r="K99" s="709"/>
      <c r="L99" s="709"/>
      <c r="M99" s="709"/>
      <c r="N99" s="709"/>
      <c r="O99" s="94"/>
      <c r="P99" s="94"/>
      <c r="Q99" s="636">
        <v>5</v>
      </c>
      <c r="R99" s="636"/>
      <c r="S99" s="709" t="str">
        <f>VLOOKUP(Q99,U12組合せ!B$10:K$19,3,TRUE)</f>
        <v>ブラッドレスＳＣ</v>
      </c>
      <c r="T99" s="709"/>
      <c r="U99" s="709"/>
      <c r="V99" s="709"/>
      <c r="W99" s="709"/>
      <c r="X99" s="709"/>
      <c r="Y99" s="709"/>
      <c r="Z99" s="709"/>
      <c r="AA99" s="709"/>
      <c r="AB99" s="709"/>
      <c r="AC99" s="111"/>
      <c r="AD99" s="93"/>
      <c r="AE99" s="636">
        <v>8</v>
      </c>
      <c r="AF99" s="636"/>
      <c r="AG99" s="709" t="str">
        <f>VLOOKUP(AE99,U12組合せ!B$10:'U12組合せ'!K$19,3,TRUE)</f>
        <v>国本ＪＳＣ</v>
      </c>
      <c r="AH99" s="709"/>
      <c r="AI99" s="709"/>
      <c r="AJ99" s="709"/>
      <c r="AK99" s="709"/>
      <c r="AL99" s="709"/>
      <c r="AM99" s="709"/>
      <c r="AN99" s="709"/>
      <c r="AO99" s="709"/>
      <c r="AP99" s="709"/>
    </row>
    <row r="100" spans="1:45" s="134" customFormat="1" ht="29.25" customHeight="1" x14ac:dyDescent="0.4">
      <c r="C100" s="637">
        <v>2</v>
      </c>
      <c r="D100" s="637"/>
      <c r="E100" s="584" t="str">
        <f>VLOOKUP(C100,U12組合せ!B$10:K$19,3,TRUE)</f>
        <v>石井ＦＣ</v>
      </c>
      <c r="F100" s="584"/>
      <c r="G100" s="584"/>
      <c r="H100" s="584"/>
      <c r="I100" s="584"/>
      <c r="J100" s="584"/>
      <c r="K100" s="584"/>
      <c r="L100" s="584"/>
      <c r="M100" s="584"/>
      <c r="N100" s="584"/>
      <c r="O100" s="94"/>
      <c r="P100" s="94"/>
      <c r="Q100" s="637">
        <v>6</v>
      </c>
      <c r="R100" s="637"/>
      <c r="S100" s="584" t="str">
        <f>VLOOKUP(Q100,U12組合せ!B$10:'U12組合せ'!K$19,3,TRUE)</f>
        <v>Ｓ４スペランツァ</v>
      </c>
      <c r="T100" s="584"/>
      <c r="U100" s="584"/>
      <c r="V100" s="584"/>
      <c r="W100" s="584"/>
      <c r="X100" s="584"/>
      <c r="Y100" s="584"/>
      <c r="Z100" s="584"/>
      <c r="AA100" s="584"/>
      <c r="AB100" s="584"/>
      <c r="AC100" s="111"/>
      <c r="AD100" s="93"/>
      <c r="AE100" s="637">
        <v>9</v>
      </c>
      <c r="AF100" s="637"/>
      <c r="AG100" s="584" t="str">
        <f>VLOOKUP(AE100,U12組合せ!B$10:'U12組合せ'!K$19,3,TRUE)</f>
        <v>本郷北ＦＣ</v>
      </c>
      <c r="AH100" s="584"/>
      <c r="AI100" s="584"/>
      <c r="AJ100" s="584"/>
      <c r="AK100" s="584"/>
      <c r="AL100" s="584"/>
      <c r="AM100" s="584"/>
      <c r="AN100" s="584"/>
      <c r="AO100" s="584"/>
      <c r="AP100" s="584"/>
    </row>
    <row r="101" spans="1:45" s="134" customFormat="1" ht="29.25" customHeight="1" x14ac:dyDescent="0.4">
      <c r="C101" s="637">
        <v>3</v>
      </c>
      <c r="D101" s="637"/>
      <c r="E101" s="584" t="str">
        <f>VLOOKUP(C101,U12組合せ!B$10:K$19,3,TRUE)</f>
        <v>unionscU12</v>
      </c>
      <c r="F101" s="584"/>
      <c r="G101" s="584"/>
      <c r="H101" s="584"/>
      <c r="I101" s="584"/>
      <c r="J101" s="584"/>
      <c r="K101" s="584"/>
      <c r="L101" s="584"/>
      <c r="M101" s="584"/>
      <c r="N101" s="584"/>
      <c r="O101" s="94"/>
      <c r="P101" s="94"/>
      <c r="Q101" s="637">
        <v>7</v>
      </c>
      <c r="R101" s="637"/>
      <c r="S101" s="584" t="str">
        <f>VLOOKUP(Q101,U12組合せ!B$10:'U12組合せ'!K$19,3,TRUE)</f>
        <v>上河内ＪＳＣ</v>
      </c>
      <c r="T101" s="584"/>
      <c r="U101" s="584"/>
      <c r="V101" s="584"/>
      <c r="W101" s="584"/>
      <c r="X101" s="584"/>
      <c r="Y101" s="584"/>
      <c r="Z101" s="584"/>
      <c r="AA101" s="584"/>
      <c r="AB101" s="584"/>
      <c r="AC101" s="111"/>
      <c r="AD101" s="93"/>
      <c r="AE101" s="637">
        <v>10</v>
      </c>
      <c r="AF101" s="637"/>
      <c r="AG101" s="584" t="str">
        <f>VLOOKUP(AE101,U12組合せ!B$10:'U12組合せ'!K$19,3,TRUE)</f>
        <v>FCアネーロ・U-12</v>
      </c>
      <c r="AH101" s="584"/>
      <c r="AI101" s="584"/>
      <c r="AJ101" s="584"/>
      <c r="AK101" s="584"/>
      <c r="AL101" s="584"/>
      <c r="AM101" s="584"/>
      <c r="AN101" s="584"/>
      <c r="AO101" s="584"/>
      <c r="AP101" s="584"/>
    </row>
    <row r="102" spans="1:45" s="134" customFormat="1" ht="29.25" customHeight="1" x14ac:dyDescent="0.4">
      <c r="B102" s="135"/>
      <c r="C102" s="636">
        <v>4</v>
      </c>
      <c r="D102" s="636"/>
      <c r="E102" s="709" t="str">
        <f>VLOOKUP(C102,U12組合せ!B$10:K$19,3,TRUE)</f>
        <v>ＳＵＧＡＯ・ＳＣ</v>
      </c>
      <c r="F102" s="709"/>
      <c r="G102" s="709"/>
      <c r="H102" s="709"/>
      <c r="I102" s="709"/>
      <c r="J102" s="709"/>
      <c r="K102" s="709"/>
      <c r="L102" s="709"/>
      <c r="M102" s="709"/>
      <c r="N102" s="709"/>
      <c r="O102" s="94"/>
      <c r="P102" s="94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111"/>
      <c r="AD102" s="94"/>
      <c r="AE102" s="94"/>
      <c r="AF102" s="94"/>
      <c r="AG102" s="94"/>
      <c r="AH102" s="93"/>
      <c r="AI102" s="93"/>
      <c r="AJ102" s="93"/>
      <c r="AK102" s="93"/>
      <c r="AL102" s="93"/>
      <c r="AM102" s="93"/>
      <c r="AN102" s="93"/>
      <c r="AO102" s="93"/>
      <c r="AP102" s="93"/>
    </row>
    <row r="103" spans="1:45" ht="8.25" customHeight="1" x14ac:dyDescent="0.4">
      <c r="O103" s="102"/>
      <c r="P103" s="102"/>
      <c r="AC103" s="95"/>
    </row>
    <row r="104" spans="1:45" ht="8.25" customHeight="1" x14ac:dyDescent="0.4">
      <c r="C104" s="117"/>
      <c r="D104" s="118"/>
      <c r="E104" s="118"/>
      <c r="F104" s="118"/>
      <c r="G104" s="118"/>
      <c r="H104" s="118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18"/>
      <c r="U104" s="102"/>
      <c r="V104" s="118"/>
      <c r="W104" s="102"/>
      <c r="X104" s="118"/>
      <c r="Y104" s="102"/>
      <c r="Z104" s="118"/>
      <c r="AA104" s="102"/>
      <c r="AB104" s="118"/>
      <c r="AC104" s="118"/>
    </row>
    <row r="105" spans="1:45" ht="21" customHeight="1" x14ac:dyDescent="0.4">
      <c r="B105" s="118" t="str">
        <f ca="1">IF(B107="①","【監督会議 8：20～】","【監督会議 12：50～】")</f>
        <v>【監督会議 12：50～】</v>
      </c>
      <c r="I105" s="96" t="s">
        <v>330</v>
      </c>
    </row>
    <row r="106" spans="1:45" ht="20.25" customHeight="1" x14ac:dyDescent="0.4">
      <c r="B106" s="97"/>
      <c r="C106" s="711" t="s">
        <v>3</v>
      </c>
      <c r="D106" s="711"/>
      <c r="E106" s="711"/>
      <c r="F106" s="712" t="s">
        <v>4</v>
      </c>
      <c r="G106" s="712"/>
      <c r="H106" s="712"/>
      <c r="I106" s="712"/>
      <c r="J106" s="711" t="s">
        <v>5</v>
      </c>
      <c r="K106" s="713"/>
      <c r="L106" s="713"/>
      <c r="M106" s="713"/>
      <c r="N106" s="713"/>
      <c r="O106" s="713"/>
      <c r="P106" s="713"/>
      <c r="Q106" s="711" t="s">
        <v>32</v>
      </c>
      <c r="R106" s="711"/>
      <c r="S106" s="711"/>
      <c r="T106" s="711"/>
      <c r="U106" s="711"/>
      <c r="V106" s="711"/>
      <c r="W106" s="711"/>
      <c r="X106" s="711" t="s">
        <v>5</v>
      </c>
      <c r="Y106" s="713"/>
      <c r="Z106" s="713"/>
      <c r="AA106" s="713"/>
      <c r="AB106" s="713"/>
      <c r="AC106" s="713"/>
      <c r="AD106" s="713"/>
      <c r="AE106" s="712" t="s">
        <v>4</v>
      </c>
      <c r="AF106" s="712"/>
      <c r="AG106" s="712"/>
      <c r="AH106" s="712"/>
      <c r="AI106" s="711" t="s">
        <v>6</v>
      </c>
      <c r="AJ106" s="711"/>
      <c r="AK106" s="713"/>
      <c r="AL106" s="713"/>
      <c r="AM106" s="713"/>
      <c r="AN106" s="713"/>
      <c r="AO106" s="713"/>
      <c r="AP106" s="713"/>
    </row>
    <row r="107" spans="1:45" ht="20.100000000000001" customHeight="1" x14ac:dyDescent="0.4">
      <c r="B107" s="644" t="str">
        <f ca="1">DBCS(INDIRECT("U12対戦スケジュール!A"&amp;(ROW()-1)/2-21))</f>
        <v>④</v>
      </c>
      <c r="C107" s="645">
        <f ca="1">INDIRECT("U12対戦スケジュール!B"&amp;(ROW()-1)/2-21)</f>
        <v>0.5625</v>
      </c>
      <c r="D107" s="646"/>
      <c r="E107" s="647"/>
      <c r="F107" s="583"/>
      <c r="G107" s="583"/>
      <c r="H107" s="583"/>
      <c r="I107" s="583"/>
      <c r="J107" s="636" t="str">
        <f ca="1">VLOOKUP(AR107,U12組合せ!B$10:E$19,3,TRUE)</f>
        <v>富士見ＳＳＳ</v>
      </c>
      <c r="K107" s="637"/>
      <c r="L107" s="637"/>
      <c r="M107" s="637"/>
      <c r="N107" s="637"/>
      <c r="O107" s="637"/>
      <c r="P107" s="637"/>
      <c r="Q107" s="635">
        <f>IF(OR(S107="",S108=""),"",S107+S108)</f>
        <v>0</v>
      </c>
      <c r="R107" s="635"/>
      <c r="S107" s="98">
        <v>0</v>
      </c>
      <c r="T107" s="99" t="s">
        <v>7</v>
      </c>
      <c r="U107" s="98">
        <v>0</v>
      </c>
      <c r="V107" s="635">
        <f>IF(OR(U107="",U108=""),"",U107+U108)</f>
        <v>2</v>
      </c>
      <c r="W107" s="635"/>
      <c r="X107" s="636" t="str">
        <f ca="1">VLOOKUP(AS107,U12組合せ!B$10:E$19,3,TRUE)</f>
        <v>ＳＵＧＡＯ・ＳＣ</v>
      </c>
      <c r="Y107" s="637"/>
      <c r="Z107" s="637"/>
      <c r="AA107" s="637"/>
      <c r="AB107" s="637"/>
      <c r="AC107" s="637"/>
      <c r="AD107" s="637"/>
      <c r="AE107" s="583"/>
      <c r="AF107" s="583"/>
      <c r="AG107" s="583"/>
      <c r="AH107" s="583"/>
      <c r="AI107" s="634" t="str">
        <f ca="1">DBCS(VLOOKUP(B107,U12対戦スケジュール!A$32:F$35,6,TRUE))</f>
        <v>５／８／８／５</v>
      </c>
      <c r="AJ107" s="583"/>
      <c r="AK107" s="583"/>
      <c r="AL107" s="583"/>
      <c r="AM107" s="583"/>
      <c r="AN107" s="583"/>
      <c r="AO107" s="583"/>
      <c r="AP107" s="583"/>
      <c r="AR107" s="119">
        <f ca="1">INDIRECT("U12対戦スケジュール!ｃ"&amp;(ROW()-1)/2-21)</f>
        <v>1</v>
      </c>
      <c r="AS107" s="119">
        <f ca="1">INDIRECT("U12対戦スケジュール!E"&amp;(ROW()-1)/2-21)</f>
        <v>4</v>
      </c>
    </row>
    <row r="108" spans="1:45" ht="20.100000000000001" customHeight="1" x14ac:dyDescent="0.4">
      <c r="B108" s="644"/>
      <c r="C108" s="648"/>
      <c r="D108" s="649"/>
      <c r="E108" s="650"/>
      <c r="F108" s="583"/>
      <c r="G108" s="583"/>
      <c r="H108" s="583"/>
      <c r="I108" s="583"/>
      <c r="J108" s="637"/>
      <c r="K108" s="637"/>
      <c r="L108" s="637"/>
      <c r="M108" s="637"/>
      <c r="N108" s="637"/>
      <c r="O108" s="637"/>
      <c r="P108" s="637"/>
      <c r="Q108" s="635"/>
      <c r="R108" s="635"/>
      <c r="S108" s="98">
        <v>0</v>
      </c>
      <c r="T108" s="99" t="s">
        <v>7</v>
      </c>
      <c r="U108" s="98">
        <v>2</v>
      </c>
      <c r="V108" s="635"/>
      <c r="W108" s="635"/>
      <c r="X108" s="637"/>
      <c r="Y108" s="637"/>
      <c r="Z108" s="637"/>
      <c r="AA108" s="637"/>
      <c r="AB108" s="637"/>
      <c r="AC108" s="637"/>
      <c r="AD108" s="637"/>
      <c r="AE108" s="583"/>
      <c r="AF108" s="583"/>
      <c r="AG108" s="583"/>
      <c r="AH108" s="583"/>
      <c r="AI108" s="583"/>
      <c r="AJ108" s="583"/>
      <c r="AK108" s="583"/>
      <c r="AL108" s="583"/>
      <c r="AM108" s="583"/>
      <c r="AN108" s="583"/>
      <c r="AO108" s="583"/>
      <c r="AP108" s="583"/>
      <c r="AR108" s="119"/>
      <c r="AS108" s="119"/>
    </row>
    <row r="109" spans="1:45" ht="20.100000000000001" customHeight="1" x14ac:dyDescent="0.4">
      <c r="B109" s="644" t="str">
        <f ca="1">DBCS(INDIRECT("U12対戦スケジュール!A"&amp;(ROW()-1)/2-21))</f>
        <v>⑤</v>
      </c>
      <c r="C109" s="645">
        <f ca="1">INDIRECT("U12対戦スケジュール!B"&amp;(ROW()-1)/2-21)</f>
        <v>0.59750000000000003</v>
      </c>
      <c r="D109" s="646"/>
      <c r="E109" s="647"/>
      <c r="F109" s="583"/>
      <c r="G109" s="583"/>
      <c r="H109" s="583"/>
      <c r="I109" s="583"/>
      <c r="J109" s="636" t="str">
        <f ca="1">VLOOKUP(AR109,U12組合せ!B$10:E$19,3,TRUE)</f>
        <v>ブラッドレスＳＣ</v>
      </c>
      <c r="K109" s="637"/>
      <c r="L109" s="637"/>
      <c r="M109" s="637"/>
      <c r="N109" s="637"/>
      <c r="O109" s="637"/>
      <c r="P109" s="637"/>
      <c r="Q109" s="635">
        <f>IF(OR(S109="",S110=""),"",S109+S110)</f>
        <v>2</v>
      </c>
      <c r="R109" s="635"/>
      <c r="S109" s="98">
        <v>0</v>
      </c>
      <c r="T109" s="99" t="s">
        <v>7</v>
      </c>
      <c r="U109" s="98">
        <v>5</v>
      </c>
      <c r="V109" s="635">
        <f>IF(OR(U109="",U110=""),"",U109+U110)</f>
        <v>6</v>
      </c>
      <c r="W109" s="635"/>
      <c r="X109" s="636" t="str">
        <f ca="1">VLOOKUP(AS109,U12組合せ!B$10:E$19,3,TRUE)</f>
        <v>国本ＪＳＣ</v>
      </c>
      <c r="Y109" s="637"/>
      <c r="Z109" s="637"/>
      <c r="AA109" s="637"/>
      <c r="AB109" s="637"/>
      <c r="AC109" s="637"/>
      <c r="AD109" s="637"/>
      <c r="AE109" s="583"/>
      <c r="AF109" s="583"/>
      <c r="AG109" s="583"/>
      <c r="AH109" s="583"/>
      <c r="AI109" s="634" t="str">
        <f ca="1">DBCS(VLOOKUP(B109,U12対戦スケジュール!A$32:F$35,6,TRUE))</f>
        <v>１／４／４／１</v>
      </c>
      <c r="AJ109" s="583"/>
      <c r="AK109" s="583"/>
      <c r="AL109" s="583"/>
      <c r="AM109" s="583"/>
      <c r="AN109" s="583"/>
      <c r="AO109" s="583"/>
      <c r="AP109" s="583"/>
      <c r="AR109" s="119">
        <f ca="1">INDIRECT("U12対戦スケジュール!ｃ"&amp;(ROW()-1)/2-21)</f>
        <v>5</v>
      </c>
      <c r="AS109" s="119">
        <f ca="1">INDIRECT("U12対戦スケジュール!E"&amp;(ROW()-1)/2-21)</f>
        <v>8</v>
      </c>
    </row>
    <row r="110" spans="1:45" ht="20.100000000000001" customHeight="1" x14ac:dyDescent="0.4">
      <c r="B110" s="644"/>
      <c r="C110" s="648"/>
      <c r="D110" s="649"/>
      <c r="E110" s="650"/>
      <c r="F110" s="583"/>
      <c r="G110" s="583"/>
      <c r="H110" s="583"/>
      <c r="I110" s="583"/>
      <c r="J110" s="637"/>
      <c r="K110" s="637"/>
      <c r="L110" s="637"/>
      <c r="M110" s="637"/>
      <c r="N110" s="637"/>
      <c r="O110" s="637"/>
      <c r="P110" s="637"/>
      <c r="Q110" s="635"/>
      <c r="R110" s="635"/>
      <c r="S110" s="98">
        <v>2</v>
      </c>
      <c r="T110" s="99" t="s">
        <v>7</v>
      </c>
      <c r="U110" s="98">
        <v>1</v>
      </c>
      <c r="V110" s="635"/>
      <c r="W110" s="635"/>
      <c r="X110" s="637"/>
      <c r="Y110" s="637"/>
      <c r="Z110" s="637"/>
      <c r="AA110" s="637"/>
      <c r="AB110" s="637"/>
      <c r="AC110" s="637"/>
      <c r="AD110" s="637"/>
      <c r="AE110" s="583"/>
      <c r="AF110" s="583"/>
      <c r="AG110" s="583"/>
      <c r="AH110" s="583"/>
      <c r="AI110" s="583"/>
      <c r="AJ110" s="583"/>
      <c r="AK110" s="583"/>
      <c r="AL110" s="583"/>
      <c r="AM110" s="583"/>
      <c r="AN110" s="583"/>
      <c r="AO110" s="583"/>
      <c r="AP110" s="583"/>
      <c r="AR110" s="119"/>
      <c r="AS110" s="119"/>
    </row>
    <row r="111" spans="1:45" ht="20.100000000000001" customHeight="1" x14ac:dyDescent="0.4">
      <c r="B111" s="644" t="str">
        <f ca="1">DBCS(INDIRECT("U12対戦スケジュール!A"&amp;(ROW()-1)/2-21))</f>
        <v>⑥</v>
      </c>
      <c r="C111" s="645">
        <f ca="1">INDIRECT("U12対戦スケジュール!B"&amp;(ROW()-1)/2-21)</f>
        <v>0.63950000000000007</v>
      </c>
      <c r="D111" s="646"/>
      <c r="E111" s="647"/>
      <c r="F111" s="583"/>
      <c r="G111" s="583"/>
      <c r="H111" s="583"/>
      <c r="I111" s="583"/>
      <c r="J111" s="636" t="str">
        <f ca="1">VLOOKUP(AR111,U12組合せ!B$10:E$19,3,TRUE)</f>
        <v>富士見ＳＳＳ</v>
      </c>
      <c r="K111" s="637"/>
      <c r="L111" s="637"/>
      <c r="M111" s="637"/>
      <c r="N111" s="637"/>
      <c r="O111" s="637"/>
      <c r="P111" s="637"/>
      <c r="Q111" s="635">
        <f>IF(OR(S111="",S112=""),"",S111+S112)</f>
        <v>2</v>
      </c>
      <c r="R111" s="635"/>
      <c r="S111" s="98">
        <v>2</v>
      </c>
      <c r="T111" s="99" t="s">
        <v>7</v>
      </c>
      <c r="U111" s="98">
        <v>0</v>
      </c>
      <c r="V111" s="635">
        <f>IF(OR(U111="",U112=""),"",U111+U112)</f>
        <v>2</v>
      </c>
      <c r="W111" s="635"/>
      <c r="X111" s="636" t="str">
        <f ca="1">VLOOKUP(AS111,U12組合せ!B$10:E$19,3,TRUE)</f>
        <v>国本ＪＳＣ</v>
      </c>
      <c r="Y111" s="637"/>
      <c r="Z111" s="637"/>
      <c r="AA111" s="637"/>
      <c r="AB111" s="637"/>
      <c r="AC111" s="637"/>
      <c r="AD111" s="637"/>
      <c r="AE111" s="583"/>
      <c r="AF111" s="583"/>
      <c r="AG111" s="583"/>
      <c r="AH111" s="583"/>
      <c r="AI111" s="634" t="str">
        <f ca="1">DBCS(VLOOKUP(B111,U12対戦スケジュール!A$32:F$35,6,TRUE))</f>
        <v>４／５／５／４</v>
      </c>
      <c r="AJ111" s="583"/>
      <c r="AK111" s="583"/>
      <c r="AL111" s="583"/>
      <c r="AM111" s="583"/>
      <c r="AN111" s="583"/>
      <c r="AO111" s="583"/>
      <c r="AP111" s="583"/>
      <c r="AR111" s="119">
        <f ca="1">INDIRECT("U12対戦スケジュール!ｃ"&amp;(ROW()-1)/2-21)</f>
        <v>1</v>
      </c>
      <c r="AS111" s="119">
        <f ca="1">INDIRECT("U12対戦スケジュール!E"&amp;(ROW()-1)/2-21)</f>
        <v>8</v>
      </c>
    </row>
    <row r="112" spans="1:45" ht="20.100000000000001" customHeight="1" x14ac:dyDescent="0.4">
      <c r="B112" s="644"/>
      <c r="C112" s="648"/>
      <c r="D112" s="649"/>
      <c r="E112" s="650"/>
      <c r="F112" s="583"/>
      <c r="G112" s="583"/>
      <c r="H112" s="583"/>
      <c r="I112" s="583"/>
      <c r="J112" s="637"/>
      <c r="K112" s="637"/>
      <c r="L112" s="637"/>
      <c r="M112" s="637"/>
      <c r="N112" s="637"/>
      <c r="O112" s="637"/>
      <c r="P112" s="637"/>
      <c r="Q112" s="635"/>
      <c r="R112" s="635"/>
      <c r="S112" s="98">
        <v>0</v>
      </c>
      <c r="T112" s="99" t="s">
        <v>7</v>
      </c>
      <c r="U112" s="98">
        <v>2</v>
      </c>
      <c r="V112" s="635"/>
      <c r="W112" s="635"/>
      <c r="X112" s="637"/>
      <c r="Y112" s="637"/>
      <c r="Z112" s="637"/>
      <c r="AA112" s="637"/>
      <c r="AB112" s="637"/>
      <c r="AC112" s="637"/>
      <c r="AD112" s="637"/>
      <c r="AE112" s="583"/>
      <c r="AF112" s="583"/>
      <c r="AG112" s="583"/>
      <c r="AH112" s="583"/>
      <c r="AI112" s="583"/>
      <c r="AJ112" s="583"/>
      <c r="AK112" s="583"/>
      <c r="AL112" s="583"/>
      <c r="AM112" s="583"/>
      <c r="AN112" s="583"/>
      <c r="AO112" s="583"/>
      <c r="AP112" s="583"/>
      <c r="AR112" s="119"/>
      <c r="AS112" s="119"/>
    </row>
    <row r="113" spans="1:45" ht="20.100000000000001" customHeight="1" x14ac:dyDescent="0.4">
      <c r="B113" s="644" t="str">
        <f ca="1">DBCS(INDIRECT("U12対戦スケジュール!A"&amp;(ROW()-1)/2-21))</f>
        <v>⑦</v>
      </c>
      <c r="C113" s="645">
        <f ca="1">INDIRECT("U12対戦スケジュール!B"&amp;(ROW()-1)/2-21)</f>
        <v>0.67400000000000004</v>
      </c>
      <c r="D113" s="646"/>
      <c r="E113" s="647"/>
      <c r="F113" s="583"/>
      <c r="G113" s="583"/>
      <c r="H113" s="583"/>
      <c r="I113" s="583"/>
      <c r="J113" s="636" t="str">
        <f ca="1">VLOOKUP(AR113,U12組合せ!B$10:E$19,3,TRUE)</f>
        <v>ブラッドレスＳＣ</v>
      </c>
      <c r="K113" s="637"/>
      <c r="L113" s="637"/>
      <c r="M113" s="637"/>
      <c r="N113" s="637"/>
      <c r="O113" s="637"/>
      <c r="P113" s="637"/>
      <c r="Q113" s="635">
        <f>IF(OR(S113="",S114=""),"",S113+S114)</f>
        <v>1</v>
      </c>
      <c r="R113" s="635"/>
      <c r="S113" s="98">
        <v>0</v>
      </c>
      <c r="T113" s="99" t="s">
        <v>7</v>
      </c>
      <c r="U113" s="98">
        <v>2</v>
      </c>
      <c r="V113" s="635">
        <f>IF(OR(U113="",U114=""),"",U113+U114)</f>
        <v>4</v>
      </c>
      <c r="W113" s="635"/>
      <c r="X113" s="636" t="str">
        <f ca="1">VLOOKUP(AS113,U12組合せ!B$10:E$19,3,TRUE)</f>
        <v>ＳＵＧＡＯ・ＳＣ</v>
      </c>
      <c r="Y113" s="637"/>
      <c r="Z113" s="637"/>
      <c r="AA113" s="637"/>
      <c r="AB113" s="637"/>
      <c r="AC113" s="637"/>
      <c r="AD113" s="637"/>
      <c r="AE113" s="583"/>
      <c r="AF113" s="583"/>
      <c r="AG113" s="583"/>
      <c r="AH113" s="583"/>
      <c r="AI113" s="634" t="str">
        <f ca="1">DBCS(VLOOKUP(B113,U12対戦スケジュール!A$32:F$35,6,TRUE))</f>
        <v>８／１／１／８</v>
      </c>
      <c r="AJ113" s="583"/>
      <c r="AK113" s="583"/>
      <c r="AL113" s="583"/>
      <c r="AM113" s="583"/>
      <c r="AN113" s="583"/>
      <c r="AO113" s="583"/>
      <c r="AP113" s="583"/>
      <c r="AR113" s="119">
        <f ca="1">INDIRECT("U12対戦スケジュール!ｃ"&amp;(ROW()-1)/2-21)</f>
        <v>5</v>
      </c>
      <c r="AS113" s="119">
        <f ca="1">INDIRECT("U12対戦スケジュール!E"&amp;(ROW()-1)/2-21)</f>
        <v>4</v>
      </c>
    </row>
    <row r="114" spans="1:45" ht="20.100000000000001" customHeight="1" x14ac:dyDescent="0.4">
      <c r="B114" s="644"/>
      <c r="C114" s="648"/>
      <c r="D114" s="649"/>
      <c r="E114" s="650"/>
      <c r="F114" s="583"/>
      <c r="G114" s="583"/>
      <c r="H114" s="583"/>
      <c r="I114" s="583"/>
      <c r="J114" s="637"/>
      <c r="K114" s="637"/>
      <c r="L114" s="637"/>
      <c r="M114" s="637"/>
      <c r="N114" s="637"/>
      <c r="O114" s="637"/>
      <c r="P114" s="637"/>
      <c r="Q114" s="635"/>
      <c r="R114" s="635"/>
      <c r="S114" s="98">
        <v>1</v>
      </c>
      <c r="T114" s="99" t="s">
        <v>7</v>
      </c>
      <c r="U114" s="98">
        <v>2</v>
      </c>
      <c r="V114" s="635"/>
      <c r="W114" s="635"/>
      <c r="X114" s="637"/>
      <c r="Y114" s="637"/>
      <c r="Z114" s="637"/>
      <c r="AA114" s="637"/>
      <c r="AB114" s="637"/>
      <c r="AC114" s="637"/>
      <c r="AD114" s="637"/>
      <c r="AE114" s="583"/>
      <c r="AF114" s="583"/>
      <c r="AG114" s="583"/>
      <c r="AH114" s="583"/>
      <c r="AI114" s="583"/>
      <c r="AJ114" s="583"/>
      <c r="AK114" s="583"/>
      <c r="AL114" s="583"/>
      <c r="AM114" s="583"/>
      <c r="AN114" s="583"/>
      <c r="AO114" s="583"/>
      <c r="AP114" s="583"/>
      <c r="AR114" s="119"/>
      <c r="AS114" s="119"/>
    </row>
    <row r="115" spans="1:45" ht="20.100000000000001" customHeight="1" x14ac:dyDescent="0.4">
      <c r="B115" s="644" t="str">
        <f ca="1">DBCS(INDIRECT("U12対戦スケジュール!A"&amp;(ROW()-1)/2-21))</f>
        <v/>
      </c>
      <c r="C115" s="723"/>
      <c r="D115" s="723"/>
      <c r="E115" s="723"/>
      <c r="F115" s="583"/>
      <c r="G115" s="583"/>
      <c r="H115" s="583"/>
      <c r="I115" s="583"/>
      <c r="J115" s="721"/>
      <c r="K115" s="722"/>
      <c r="L115" s="722"/>
      <c r="M115" s="722"/>
      <c r="N115" s="722"/>
      <c r="O115" s="722"/>
      <c r="P115" s="722"/>
      <c r="Q115" s="634"/>
      <c r="R115" s="634"/>
      <c r="S115" s="98"/>
      <c r="T115" s="99"/>
      <c r="U115" s="98"/>
      <c r="V115" s="634"/>
      <c r="W115" s="634"/>
      <c r="X115" s="721"/>
      <c r="Y115" s="722"/>
      <c r="Z115" s="722"/>
      <c r="AA115" s="722"/>
      <c r="AB115" s="722"/>
      <c r="AC115" s="722"/>
      <c r="AD115" s="722"/>
      <c r="AE115" s="583"/>
      <c r="AF115" s="583"/>
      <c r="AG115" s="583"/>
      <c r="AH115" s="583"/>
      <c r="AI115" s="634"/>
      <c r="AJ115" s="583"/>
      <c r="AK115" s="583"/>
      <c r="AL115" s="583"/>
      <c r="AM115" s="583"/>
      <c r="AN115" s="583"/>
      <c r="AO115" s="583"/>
      <c r="AP115" s="583"/>
      <c r="AR115" s="119"/>
      <c r="AS115" s="119"/>
    </row>
    <row r="116" spans="1:45" ht="20.100000000000001" customHeight="1" x14ac:dyDescent="0.4">
      <c r="B116" s="644"/>
      <c r="C116" s="723"/>
      <c r="D116" s="723"/>
      <c r="E116" s="723"/>
      <c r="F116" s="583"/>
      <c r="G116" s="583"/>
      <c r="H116" s="583"/>
      <c r="I116" s="583"/>
      <c r="J116" s="722"/>
      <c r="K116" s="722"/>
      <c r="L116" s="722"/>
      <c r="M116" s="722"/>
      <c r="N116" s="722"/>
      <c r="O116" s="722"/>
      <c r="P116" s="722"/>
      <c r="Q116" s="634"/>
      <c r="R116" s="634"/>
      <c r="S116" s="98"/>
      <c r="T116" s="99"/>
      <c r="U116" s="98"/>
      <c r="V116" s="634"/>
      <c r="W116" s="634"/>
      <c r="X116" s="722"/>
      <c r="Y116" s="722"/>
      <c r="Z116" s="722"/>
      <c r="AA116" s="722"/>
      <c r="AB116" s="722"/>
      <c r="AC116" s="722"/>
      <c r="AD116" s="722"/>
      <c r="AE116" s="583"/>
      <c r="AF116" s="583"/>
      <c r="AG116" s="583"/>
      <c r="AH116" s="583"/>
      <c r="AI116" s="583"/>
      <c r="AJ116" s="583"/>
      <c r="AK116" s="583"/>
      <c r="AL116" s="583"/>
      <c r="AM116" s="583"/>
      <c r="AN116" s="583"/>
      <c r="AO116" s="583"/>
      <c r="AP116" s="583"/>
      <c r="AR116" s="119"/>
      <c r="AS116" s="119"/>
    </row>
    <row r="117" spans="1:45" ht="20.100000000000001" customHeight="1" x14ac:dyDescent="0.4">
      <c r="B117" s="644"/>
      <c r="C117" s="723"/>
      <c r="D117" s="723"/>
      <c r="E117" s="723"/>
      <c r="F117" s="583"/>
      <c r="G117" s="583"/>
      <c r="H117" s="583"/>
      <c r="I117" s="583"/>
      <c r="J117" s="721"/>
      <c r="K117" s="722"/>
      <c r="L117" s="722"/>
      <c r="M117" s="722"/>
      <c r="N117" s="722"/>
      <c r="O117" s="722"/>
      <c r="P117" s="722"/>
      <c r="Q117" s="634"/>
      <c r="R117" s="634"/>
      <c r="S117" s="98"/>
      <c r="T117" s="99"/>
      <c r="U117" s="98"/>
      <c r="V117" s="634"/>
      <c r="W117" s="634"/>
      <c r="X117" s="721"/>
      <c r="Y117" s="722"/>
      <c r="Z117" s="722"/>
      <c r="AA117" s="722"/>
      <c r="AB117" s="722"/>
      <c r="AC117" s="722"/>
      <c r="AD117" s="722"/>
      <c r="AE117" s="583"/>
      <c r="AF117" s="583"/>
      <c r="AG117" s="583"/>
      <c r="AH117" s="583"/>
      <c r="AI117" s="634"/>
      <c r="AJ117" s="583"/>
      <c r="AK117" s="583"/>
      <c r="AL117" s="583"/>
      <c r="AM117" s="583"/>
      <c r="AN117" s="583"/>
      <c r="AO117" s="583"/>
      <c r="AP117" s="583"/>
      <c r="AR117" s="119"/>
      <c r="AS117" s="119"/>
    </row>
    <row r="118" spans="1:45" ht="20.100000000000001" customHeight="1" x14ac:dyDescent="0.4">
      <c r="B118" s="644"/>
      <c r="C118" s="723"/>
      <c r="D118" s="723"/>
      <c r="E118" s="723"/>
      <c r="F118" s="583"/>
      <c r="G118" s="583"/>
      <c r="H118" s="583"/>
      <c r="I118" s="583"/>
      <c r="J118" s="722"/>
      <c r="K118" s="722"/>
      <c r="L118" s="722"/>
      <c r="M118" s="722"/>
      <c r="N118" s="722"/>
      <c r="O118" s="722"/>
      <c r="P118" s="722"/>
      <c r="Q118" s="634"/>
      <c r="R118" s="634"/>
      <c r="S118" s="98"/>
      <c r="T118" s="99"/>
      <c r="U118" s="98"/>
      <c r="V118" s="634"/>
      <c r="W118" s="634"/>
      <c r="X118" s="722"/>
      <c r="Y118" s="722"/>
      <c r="Z118" s="722"/>
      <c r="AA118" s="722"/>
      <c r="AB118" s="722"/>
      <c r="AC118" s="722"/>
      <c r="AD118" s="722"/>
      <c r="AE118" s="583"/>
      <c r="AF118" s="583"/>
      <c r="AG118" s="583"/>
      <c r="AH118" s="583"/>
      <c r="AI118" s="583"/>
      <c r="AJ118" s="583"/>
      <c r="AK118" s="583"/>
      <c r="AL118" s="583"/>
      <c r="AM118" s="583"/>
      <c r="AN118" s="583"/>
      <c r="AO118" s="583"/>
      <c r="AP118" s="583"/>
      <c r="AR118" s="119"/>
      <c r="AS118" s="119"/>
    </row>
    <row r="119" spans="1:45" ht="20.100000000000001" customHeight="1" x14ac:dyDescent="0.4">
      <c r="B119" s="644"/>
      <c r="C119" s="723"/>
      <c r="D119" s="723"/>
      <c r="E119" s="723"/>
      <c r="F119" s="583"/>
      <c r="G119" s="583"/>
      <c r="H119" s="583"/>
      <c r="I119" s="583"/>
      <c r="J119" s="721"/>
      <c r="K119" s="722"/>
      <c r="L119" s="722"/>
      <c r="M119" s="722"/>
      <c r="N119" s="722"/>
      <c r="O119" s="722"/>
      <c r="P119" s="722"/>
      <c r="Q119" s="634"/>
      <c r="R119" s="634"/>
      <c r="S119" s="100"/>
      <c r="T119" s="101"/>
      <c r="U119" s="100"/>
      <c r="V119" s="634"/>
      <c r="W119" s="634"/>
      <c r="X119" s="721"/>
      <c r="Y119" s="722"/>
      <c r="Z119" s="722"/>
      <c r="AA119" s="722"/>
      <c r="AB119" s="722"/>
      <c r="AC119" s="722"/>
      <c r="AD119" s="722"/>
      <c r="AE119" s="583"/>
      <c r="AF119" s="583"/>
      <c r="AG119" s="583"/>
      <c r="AH119" s="583"/>
      <c r="AI119" s="634"/>
      <c r="AJ119" s="583"/>
      <c r="AK119" s="583"/>
      <c r="AL119" s="583"/>
      <c r="AM119" s="583"/>
      <c r="AN119" s="583"/>
      <c r="AO119" s="583"/>
      <c r="AP119" s="583"/>
      <c r="AR119" s="119"/>
      <c r="AS119" s="119"/>
    </row>
    <row r="120" spans="1:45" ht="20.100000000000001" customHeight="1" x14ac:dyDescent="0.4">
      <c r="B120" s="644"/>
      <c r="C120" s="723"/>
      <c r="D120" s="723"/>
      <c r="E120" s="723"/>
      <c r="F120" s="583"/>
      <c r="G120" s="583"/>
      <c r="H120" s="583"/>
      <c r="I120" s="583"/>
      <c r="J120" s="722"/>
      <c r="K120" s="722"/>
      <c r="L120" s="722"/>
      <c r="M120" s="722"/>
      <c r="N120" s="722"/>
      <c r="O120" s="722"/>
      <c r="P120" s="722"/>
      <c r="Q120" s="634"/>
      <c r="R120" s="634"/>
      <c r="S120" s="100"/>
      <c r="T120" s="101"/>
      <c r="U120" s="100"/>
      <c r="V120" s="634"/>
      <c r="W120" s="634"/>
      <c r="X120" s="722"/>
      <c r="Y120" s="722"/>
      <c r="Z120" s="722"/>
      <c r="AA120" s="722"/>
      <c r="AB120" s="722"/>
      <c r="AC120" s="722"/>
      <c r="AD120" s="722"/>
      <c r="AE120" s="583"/>
      <c r="AF120" s="583"/>
      <c r="AG120" s="583"/>
      <c r="AH120" s="583"/>
      <c r="AI120" s="583"/>
      <c r="AJ120" s="583"/>
      <c r="AK120" s="583"/>
      <c r="AL120" s="583"/>
      <c r="AM120" s="583"/>
      <c r="AN120" s="583"/>
      <c r="AO120" s="583"/>
      <c r="AP120" s="583"/>
    </row>
    <row r="121" spans="1:45" ht="15.75" customHeight="1" thickBot="1" x14ac:dyDescent="0.45">
      <c r="A121" s="102"/>
      <c r="B121" s="103"/>
      <c r="C121" s="104"/>
      <c r="D121" s="104"/>
      <c r="E121" s="104"/>
      <c r="F121" s="103"/>
      <c r="G121" s="103"/>
      <c r="H121" s="103"/>
      <c r="I121" s="103"/>
      <c r="J121" s="103"/>
      <c r="K121" s="105"/>
      <c r="L121" s="105"/>
      <c r="M121" s="106"/>
      <c r="N121" s="107"/>
      <c r="O121" s="106"/>
      <c r="P121" s="105"/>
      <c r="Q121" s="105"/>
      <c r="R121" s="103"/>
      <c r="S121" s="103"/>
      <c r="T121" s="103"/>
      <c r="U121" s="103"/>
      <c r="V121" s="103"/>
      <c r="W121" s="108"/>
      <c r="X121" s="108"/>
      <c r="Y121" s="108"/>
      <c r="Z121" s="108"/>
      <c r="AA121" s="108"/>
      <c r="AB121" s="108"/>
      <c r="AC121" s="102"/>
    </row>
    <row r="122" spans="1:45" ht="20.25" customHeight="1" x14ac:dyDescent="0.4">
      <c r="D122" s="714" t="s">
        <v>8</v>
      </c>
      <c r="E122" s="715"/>
      <c r="F122" s="715"/>
      <c r="G122" s="715"/>
      <c r="H122" s="715"/>
      <c r="I122" s="715"/>
      <c r="J122" s="715" t="s">
        <v>5</v>
      </c>
      <c r="K122" s="715"/>
      <c r="L122" s="715"/>
      <c r="M122" s="715"/>
      <c r="N122" s="715"/>
      <c r="O122" s="715"/>
      <c r="P122" s="715"/>
      <c r="Q122" s="715"/>
      <c r="R122" s="614" t="s">
        <v>9</v>
      </c>
      <c r="S122" s="614"/>
      <c r="T122" s="614"/>
      <c r="U122" s="614"/>
      <c r="V122" s="614"/>
      <c r="W122" s="614"/>
      <c r="X122" s="614"/>
      <c r="Y122" s="614"/>
      <c r="Z122" s="614"/>
      <c r="AA122" s="615" t="s">
        <v>10</v>
      </c>
      <c r="AB122" s="615"/>
      <c r="AC122" s="615"/>
      <c r="AD122" s="615" t="s">
        <v>11</v>
      </c>
      <c r="AE122" s="615"/>
      <c r="AF122" s="615"/>
      <c r="AG122" s="615"/>
      <c r="AH122" s="615"/>
      <c r="AI122" s="615"/>
      <c r="AJ122" s="615"/>
      <c r="AK122" s="615"/>
      <c r="AL122" s="615"/>
      <c r="AM122" s="643"/>
    </row>
    <row r="123" spans="1:45" ht="30" customHeight="1" x14ac:dyDescent="0.4">
      <c r="D123" s="718" t="s">
        <v>12</v>
      </c>
      <c r="E123" s="644"/>
      <c r="F123" s="644"/>
      <c r="G123" s="644"/>
      <c r="H123" s="644"/>
      <c r="I123" s="644"/>
      <c r="J123" s="644"/>
      <c r="K123" s="644"/>
      <c r="L123" s="644"/>
      <c r="M123" s="644"/>
      <c r="N123" s="644"/>
      <c r="O123" s="644"/>
      <c r="P123" s="644"/>
      <c r="Q123" s="644"/>
      <c r="R123" s="639"/>
      <c r="S123" s="639"/>
      <c r="T123" s="639"/>
      <c r="U123" s="639"/>
      <c r="V123" s="639"/>
      <c r="W123" s="639"/>
      <c r="X123" s="639"/>
      <c r="Y123" s="639"/>
      <c r="Z123" s="639"/>
      <c r="AA123" s="724"/>
      <c r="AB123" s="724"/>
      <c r="AC123" s="724"/>
      <c r="AD123" s="595"/>
      <c r="AE123" s="595"/>
      <c r="AF123" s="595"/>
      <c r="AG123" s="595"/>
      <c r="AH123" s="595"/>
      <c r="AI123" s="595"/>
      <c r="AJ123" s="595"/>
      <c r="AK123" s="595"/>
      <c r="AL123" s="595"/>
      <c r="AM123" s="596"/>
    </row>
    <row r="124" spans="1:45" ht="30" customHeight="1" x14ac:dyDescent="0.4">
      <c r="D124" s="718" t="s">
        <v>12</v>
      </c>
      <c r="E124" s="644"/>
      <c r="F124" s="644"/>
      <c r="G124" s="644"/>
      <c r="H124" s="644"/>
      <c r="I124" s="644"/>
      <c r="J124" s="644"/>
      <c r="K124" s="644"/>
      <c r="L124" s="644"/>
      <c r="M124" s="644"/>
      <c r="N124" s="644"/>
      <c r="O124" s="644"/>
      <c r="P124" s="644"/>
      <c r="Q124" s="644"/>
      <c r="R124" s="639"/>
      <c r="S124" s="639"/>
      <c r="T124" s="639"/>
      <c r="U124" s="639"/>
      <c r="V124" s="639"/>
      <c r="W124" s="639"/>
      <c r="X124" s="639"/>
      <c r="Y124" s="639"/>
      <c r="Z124" s="639"/>
      <c r="AA124" s="613"/>
      <c r="AB124" s="613"/>
      <c r="AC124" s="613"/>
      <c r="AD124" s="595"/>
      <c r="AE124" s="595"/>
      <c r="AF124" s="595"/>
      <c r="AG124" s="595"/>
      <c r="AH124" s="595"/>
      <c r="AI124" s="595"/>
      <c r="AJ124" s="595"/>
      <c r="AK124" s="595"/>
      <c r="AL124" s="595"/>
      <c r="AM124" s="596"/>
    </row>
    <row r="125" spans="1:45" ht="30" customHeight="1" thickBot="1" x14ac:dyDescent="0.45">
      <c r="D125" s="616" t="s">
        <v>12</v>
      </c>
      <c r="E125" s="617"/>
      <c r="F125" s="617"/>
      <c r="G125" s="617"/>
      <c r="H125" s="617"/>
      <c r="I125" s="617"/>
      <c r="J125" s="617"/>
      <c r="K125" s="617"/>
      <c r="L125" s="617"/>
      <c r="M125" s="617"/>
      <c r="N125" s="617"/>
      <c r="O125" s="617"/>
      <c r="P125" s="617"/>
      <c r="Q125" s="617"/>
      <c r="R125" s="716"/>
      <c r="S125" s="716"/>
      <c r="T125" s="716"/>
      <c r="U125" s="716"/>
      <c r="V125" s="716"/>
      <c r="W125" s="716"/>
      <c r="X125" s="716"/>
      <c r="Y125" s="716"/>
      <c r="Z125" s="716"/>
      <c r="AA125" s="717"/>
      <c r="AB125" s="717"/>
      <c r="AC125" s="717"/>
      <c r="AD125" s="641"/>
      <c r="AE125" s="641"/>
      <c r="AF125" s="641"/>
      <c r="AG125" s="641"/>
      <c r="AH125" s="641"/>
      <c r="AI125" s="641"/>
      <c r="AJ125" s="641"/>
      <c r="AK125" s="641"/>
      <c r="AL125" s="641"/>
      <c r="AM125" s="642"/>
    </row>
    <row r="126" spans="1:45" ht="14.25" customHeight="1" x14ac:dyDescent="0.4">
      <c r="A126" s="115"/>
      <c r="B126" s="640" t="str">
        <f>U12組合せ!$B$1</f>
        <v>ＪＦＡ　Ｕ-１２サッカーリーグ2021（in栃木） 宇都宮地区リーグ戦（前期）</v>
      </c>
      <c r="C126" s="640"/>
      <c r="D126" s="640"/>
      <c r="E126" s="640"/>
      <c r="F126" s="640"/>
      <c r="G126" s="640"/>
      <c r="H126" s="640"/>
      <c r="I126" s="640"/>
      <c r="J126" s="640"/>
      <c r="K126" s="640"/>
      <c r="L126" s="640"/>
      <c r="M126" s="640"/>
      <c r="N126" s="640"/>
      <c r="O126" s="640"/>
      <c r="P126" s="640"/>
      <c r="Q126" s="640"/>
      <c r="R126" s="640"/>
      <c r="S126" s="640"/>
      <c r="T126" s="640"/>
      <c r="U126" s="640"/>
      <c r="V126" s="640"/>
      <c r="W126" s="640"/>
      <c r="X126" s="640"/>
      <c r="Y126" s="640"/>
      <c r="Z126" s="640"/>
      <c r="AA126" s="640"/>
      <c r="AB126" s="640"/>
      <c r="AC126" s="612" t="str">
        <f>"【"&amp;(U12組合せ!$D$3)&amp;"】"</f>
        <v>【Ａ ブロック】</v>
      </c>
      <c r="AD126" s="612"/>
      <c r="AE126" s="612"/>
      <c r="AF126" s="612"/>
      <c r="AG126" s="612"/>
      <c r="AH126" s="612"/>
      <c r="AI126" s="612"/>
      <c r="AJ126" s="612"/>
      <c r="AK126" s="612" t="str">
        <f>"第"&amp;(U12組合せ!$D$27)</f>
        <v>第２節</v>
      </c>
      <c r="AL126" s="612"/>
      <c r="AM126" s="612"/>
      <c r="AN126" s="612"/>
      <c r="AO126" s="612"/>
      <c r="AP126" s="593" t="s">
        <v>305</v>
      </c>
      <c r="AQ126" s="594"/>
    </row>
    <row r="127" spans="1:45" ht="14.25" customHeight="1" x14ac:dyDescent="0.4">
      <c r="A127" s="115"/>
      <c r="B127" s="640"/>
      <c r="C127" s="640"/>
      <c r="D127" s="640"/>
      <c r="E127" s="640"/>
      <c r="F127" s="640"/>
      <c r="G127" s="640"/>
      <c r="H127" s="640"/>
      <c r="I127" s="640"/>
      <c r="J127" s="640"/>
      <c r="K127" s="640"/>
      <c r="L127" s="640"/>
      <c r="M127" s="640"/>
      <c r="N127" s="640"/>
      <c r="O127" s="640"/>
      <c r="P127" s="640"/>
      <c r="Q127" s="640"/>
      <c r="R127" s="640"/>
      <c r="S127" s="640"/>
      <c r="T127" s="640"/>
      <c r="U127" s="640"/>
      <c r="V127" s="640"/>
      <c r="W127" s="640"/>
      <c r="X127" s="640"/>
      <c r="Y127" s="640"/>
      <c r="Z127" s="640"/>
      <c r="AA127" s="640"/>
      <c r="AB127" s="640"/>
      <c r="AC127" s="612"/>
      <c r="AD127" s="612"/>
      <c r="AE127" s="612"/>
      <c r="AF127" s="612"/>
      <c r="AG127" s="612"/>
      <c r="AH127" s="612"/>
      <c r="AI127" s="612"/>
      <c r="AJ127" s="612"/>
      <c r="AK127" s="612"/>
      <c r="AL127" s="612"/>
      <c r="AM127" s="612"/>
      <c r="AN127" s="612"/>
      <c r="AO127" s="612"/>
      <c r="AP127" s="594"/>
      <c r="AQ127" s="594"/>
    </row>
    <row r="128" spans="1:45" ht="14.25" customHeight="1" x14ac:dyDescent="0.4">
      <c r="A128" s="115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</row>
    <row r="129" spans="2:51" ht="27.75" customHeight="1" x14ac:dyDescent="0.4">
      <c r="C129" s="635" t="s">
        <v>1</v>
      </c>
      <c r="D129" s="635"/>
      <c r="E129" s="635"/>
      <c r="F129" s="635"/>
      <c r="G129" s="725" t="str">
        <f>U12対戦スケジュール!C38</f>
        <v>平出北 AM</v>
      </c>
      <c r="H129" s="726"/>
      <c r="I129" s="726"/>
      <c r="J129" s="726"/>
      <c r="K129" s="726"/>
      <c r="L129" s="726"/>
      <c r="M129" s="726"/>
      <c r="N129" s="726"/>
      <c r="O129" s="727"/>
      <c r="P129" s="635" t="s">
        <v>0</v>
      </c>
      <c r="Q129" s="635"/>
      <c r="R129" s="635"/>
      <c r="S129" s="635"/>
      <c r="T129" s="636" t="str">
        <f>S132</f>
        <v>Ｓ４スペランツァ</v>
      </c>
      <c r="U129" s="636"/>
      <c r="V129" s="636"/>
      <c r="W129" s="636"/>
      <c r="X129" s="636"/>
      <c r="Y129" s="636"/>
      <c r="Z129" s="636"/>
      <c r="AA129" s="636"/>
      <c r="AB129" s="636"/>
      <c r="AC129" s="635" t="s">
        <v>2</v>
      </c>
      <c r="AD129" s="635"/>
      <c r="AE129" s="635"/>
      <c r="AF129" s="635"/>
      <c r="AG129" s="618">
        <f>U12対戦スケジュール!F27</f>
        <v>44310</v>
      </c>
      <c r="AH129" s="619"/>
      <c r="AI129" s="619"/>
      <c r="AJ129" s="619"/>
      <c r="AK129" s="619"/>
      <c r="AL129" s="619"/>
      <c r="AM129" s="620" t="str">
        <f>"（"&amp;TEXT(AG129,"aaa")&amp;"）"</f>
        <v>（土）</v>
      </c>
      <c r="AN129" s="620"/>
      <c r="AO129" s="621"/>
    </row>
    <row r="130" spans="2:51" ht="15" customHeight="1" x14ac:dyDescent="0.4">
      <c r="C130" s="96" t="str">
        <f>U12対戦スケジュール!C37</f>
        <v>A269</v>
      </c>
      <c r="D130" s="102"/>
      <c r="E130" s="102"/>
      <c r="F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95"/>
      <c r="X130" s="95"/>
      <c r="Y130" s="95"/>
      <c r="Z130" s="95"/>
      <c r="AA130" s="95"/>
      <c r="AB130" s="95"/>
      <c r="AC130" s="95"/>
    </row>
    <row r="131" spans="2:51" ht="29.25" customHeight="1" x14ac:dyDescent="0.4">
      <c r="C131" s="637">
        <v>1</v>
      </c>
      <c r="D131" s="637"/>
      <c r="E131" s="584" t="str">
        <f>VLOOKUP(C131,U12組合せ!B$10:K$19,3,TRUE)</f>
        <v>富士見ＳＳＳ</v>
      </c>
      <c r="F131" s="584"/>
      <c r="G131" s="584"/>
      <c r="H131" s="584"/>
      <c r="I131" s="584"/>
      <c r="J131" s="584"/>
      <c r="K131" s="584"/>
      <c r="L131" s="584"/>
      <c r="M131" s="584"/>
      <c r="N131" s="584"/>
      <c r="O131" s="94"/>
      <c r="P131" s="94"/>
      <c r="Q131" s="637">
        <v>5</v>
      </c>
      <c r="R131" s="637"/>
      <c r="S131" s="584" t="str">
        <f>VLOOKUP(Q131,U12組合せ!B$10:K$19,3,TRUE)</f>
        <v>ブラッドレスＳＣ</v>
      </c>
      <c r="T131" s="584"/>
      <c r="U131" s="584"/>
      <c r="V131" s="584"/>
      <c r="W131" s="584"/>
      <c r="X131" s="584"/>
      <c r="Y131" s="584"/>
      <c r="Z131" s="584"/>
      <c r="AA131" s="584"/>
      <c r="AB131" s="584"/>
      <c r="AC131" s="92"/>
      <c r="AD131" s="93"/>
      <c r="AE131" s="637">
        <v>8</v>
      </c>
      <c r="AF131" s="637"/>
      <c r="AG131" s="584" t="str">
        <f>VLOOKUP(AE131,U12組合せ!B$10:'U12組合せ'!K$19,3,TRUE)</f>
        <v>国本ＪＳＣ</v>
      </c>
      <c r="AH131" s="584"/>
      <c r="AI131" s="584"/>
      <c r="AJ131" s="584"/>
      <c r="AK131" s="584"/>
      <c r="AL131" s="584"/>
      <c r="AM131" s="584"/>
      <c r="AN131" s="584"/>
      <c r="AO131" s="584"/>
      <c r="AP131" s="584"/>
    </row>
    <row r="132" spans="2:51" s="141" customFormat="1" ht="29.25" customHeight="1" x14ac:dyDescent="0.4">
      <c r="C132" s="636">
        <v>2</v>
      </c>
      <c r="D132" s="636"/>
      <c r="E132" s="709" t="str">
        <f>VLOOKUP(C132,U12組合せ!B$10:K$19,3,TRUE)</f>
        <v>石井ＦＣ</v>
      </c>
      <c r="F132" s="709"/>
      <c r="G132" s="709"/>
      <c r="H132" s="709"/>
      <c r="I132" s="709"/>
      <c r="J132" s="709"/>
      <c r="K132" s="709"/>
      <c r="L132" s="709"/>
      <c r="M132" s="709"/>
      <c r="N132" s="709"/>
      <c r="O132" s="140"/>
      <c r="P132" s="140"/>
      <c r="Q132" s="636">
        <v>6</v>
      </c>
      <c r="R132" s="636"/>
      <c r="S132" s="709" t="str">
        <f>VLOOKUP(Q132,U12組合せ!B$10:'U12組合せ'!K$19,3,TRUE)</f>
        <v>Ｓ４スペランツァ</v>
      </c>
      <c r="T132" s="709"/>
      <c r="U132" s="709"/>
      <c r="V132" s="709"/>
      <c r="W132" s="709"/>
      <c r="X132" s="709"/>
      <c r="Y132" s="709"/>
      <c r="Z132" s="709"/>
      <c r="AA132" s="709"/>
      <c r="AB132" s="709"/>
      <c r="AC132" s="92"/>
      <c r="AD132" s="139"/>
      <c r="AE132" s="636">
        <v>9</v>
      </c>
      <c r="AF132" s="636"/>
      <c r="AG132" s="709" t="str">
        <f>VLOOKUP(AE132,U12組合せ!B$10:'U12組合せ'!K$19,3,TRUE)</f>
        <v>本郷北ＦＣ</v>
      </c>
      <c r="AH132" s="709"/>
      <c r="AI132" s="709"/>
      <c r="AJ132" s="709"/>
      <c r="AK132" s="709"/>
      <c r="AL132" s="709"/>
      <c r="AM132" s="709"/>
      <c r="AN132" s="709"/>
      <c r="AO132" s="709"/>
      <c r="AP132" s="709"/>
      <c r="AS132" s="141">
        <f>138/2</f>
        <v>69</v>
      </c>
    </row>
    <row r="133" spans="2:51" ht="29.25" customHeight="1" x14ac:dyDescent="0.4">
      <c r="C133" s="637">
        <v>3</v>
      </c>
      <c r="D133" s="637"/>
      <c r="E133" s="584" t="str">
        <f>VLOOKUP(C133,U12組合せ!B$10:K$19,3,TRUE)</f>
        <v>unionscU12</v>
      </c>
      <c r="F133" s="584"/>
      <c r="G133" s="584"/>
      <c r="H133" s="584"/>
      <c r="I133" s="584"/>
      <c r="J133" s="584"/>
      <c r="K133" s="584"/>
      <c r="L133" s="584"/>
      <c r="M133" s="584"/>
      <c r="N133" s="584"/>
      <c r="O133" s="94"/>
      <c r="P133" s="94"/>
      <c r="Q133" s="637">
        <v>7</v>
      </c>
      <c r="R133" s="637"/>
      <c r="S133" s="584" t="str">
        <f>VLOOKUP(Q133,U12組合せ!B$10:'U12組合せ'!K$19,3,TRUE)</f>
        <v>上河内ＪＳＣ</v>
      </c>
      <c r="T133" s="584"/>
      <c r="U133" s="584"/>
      <c r="V133" s="584"/>
      <c r="W133" s="584"/>
      <c r="X133" s="584"/>
      <c r="Y133" s="584"/>
      <c r="Z133" s="584"/>
      <c r="AA133" s="584"/>
      <c r="AB133" s="584"/>
      <c r="AC133" s="92"/>
      <c r="AD133" s="93"/>
      <c r="AE133" s="637">
        <v>10</v>
      </c>
      <c r="AF133" s="637"/>
      <c r="AG133" s="584" t="str">
        <f>VLOOKUP(AE133,U12組合せ!B$10:'U12組合せ'!K$19,3,TRUE)</f>
        <v>FCアネーロ・U-12</v>
      </c>
      <c r="AH133" s="584"/>
      <c r="AI133" s="584"/>
      <c r="AJ133" s="584"/>
      <c r="AK133" s="584"/>
      <c r="AL133" s="584"/>
      <c r="AM133" s="584"/>
      <c r="AN133" s="584"/>
      <c r="AO133" s="584"/>
      <c r="AP133" s="584"/>
      <c r="AS133" s="96">
        <v>40</v>
      </c>
    </row>
    <row r="134" spans="2:51" ht="29.25" customHeight="1" x14ac:dyDescent="0.4">
      <c r="B134" s="102"/>
      <c r="C134" s="637">
        <v>4</v>
      </c>
      <c r="D134" s="637"/>
      <c r="E134" s="584" t="str">
        <f>VLOOKUP(C134,U12組合せ!B$10:K$19,3,TRUE)</f>
        <v>ＳＵＧＡＯ・ＳＣ</v>
      </c>
      <c r="F134" s="584"/>
      <c r="G134" s="584"/>
      <c r="H134" s="584"/>
      <c r="I134" s="584"/>
      <c r="J134" s="584"/>
      <c r="K134" s="584"/>
      <c r="L134" s="584"/>
      <c r="M134" s="584"/>
      <c r="N134" s="584"/>
      <c r="O134" s="94"/>
      <c r="P134" s="94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2"/>
      <c r="AD134" s="94"/>
      <c r="AE134" s="94"/>
      <c r="AF134" s="94"/>
      <c r="AG134" s="94"/>
      <c r="AH134" s="93"/>
      <c r="AI134" s="93"/>
      <c r="AJ134" s="93"/>
      <c r="AK134" s="93"/>
      <c r="AL134" s="93"/>
      <c r="AM134" s="93"/>
      <c r="AN134" s="93"/>
      <c r="AO134" s="93"/>
      <c r="AP134" s="93"/>
    </row>
    <row r="135" spans="2:51" ht="6.75" customHeight="1" x14ac:dyDescent="0.4">
      <c r="O135" s="102"/>
      <c r="P135" s="102"/>
      <c r="AC135" s="95"/>
    </row>
    <row r="136" spans="2:51" ht="6.75" customHeight="1" x14ac:dyDescent="0.4">
      <c r="C136" s="117"/>
      <c r="D136" s="118"/>
      <c r="E136" s="118"/>
      <c r="F136" s="118"/>
      <c r="G136" s="118"/>
      <c r="H136" s="118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18"/>
      <c r="U136" s="102"/>
      <c r="V136" s="118"/>
      <c r="W136" s="102"/>
      <c r="X136" s="118"/>
      <c r="Y136" s="102"/>
      <c r="Z136" s="118"/>
      <c r="AA136" s="102"/>
      <c r="AB136" s="118"/>
      <c r="AC136" s="118"/>
    </row>
    <row r="137" spans="2:51" ht="21" customHeight="1" x14ac:dyDescent="0.4">
      <c r="B137" s="118" t="str">
        <f ca="1">IF(B139="①","【監督会議 8：20～】","【監督会議 12：50～】")</f>
        <v>【監督会議 8：20～】</v>
      </c>
      <c r="I137" s="96" t="s">
        <v>330</v>
      </c>
    </row>
    <row r="138" spans="2:51" ht="20.25" customHeight="1" x14ac:dyDescent="0.4">
      <c r="B138" s="97"/>
      <c r="C138" s="711" t="s">
        <v>3</v>
      </c>
      <c r="D138" s="711"/>
      <c r="E138" s="711"/>
      <c r="F138" s="712" t="s">
        <v>4</v>
      </c>
      <c r="G138" s="712"/>
      <c r="H138" s="712"/>
      <c r="I138" s="712"/>
      <c r="J138" s="711" t="s">
        <v>5</v>
      </c>
      <c r="K138" s="713"/>
      <c r="L138" s="713"/>
      <c r="M138" s="713"/>
      <c r="N138" s="713"/>
      <c r="O138" s="713"/>
      <c r="P138" s="713"/>
      <c r="Q138" s="711" t="s">
        <v>32</v>
      </c>
      <c r="R138" s="711"/>
      <c r="S138" s="711"/>
      <c r="T138" s="711"/>
      <c r="U138" s="711"/>
      <c r="V138" s="711"/>
      <c r="W138" s="711"/>
      <c r="X138" s="711" t="s">
        <v>5</v>
      </c>
      <c r="Y138" s="713"/>
      <c r="Z138" s="713"/>
      <c r="AA138" s="713"/>
      <c r="AB138" s="713"/>
      <c r="AC138" s="713"/>
      <c r="AD138" s="713"/>
      <c r="AE138" s="712" t="s">
        <v>4</v>
      </c>
      <c r="AF138" s="712"/>
      <c r="AG138" s="712"/>
      <c r="AH138" s="712"/>
      <c r="AI138" s="711" t="s">
        <v>6</v>
      </c>
      <c r="AJ138" s="711"/>
      <c r="AK138" s="713"/>
      <c r="AL138" s="713"/>
      <c r="AM138" s="713"/>
      <c r="AN138" s="713"/>
      <c r="AO138" s="713"/>
      <c r="AP138" s="713"/>
    </row>
    <row r="139" spans="2:51" ht="20.100000000000001" customHeight="1" x14ac:dyDescent="0.4">
      <c r="B139" s="644" t="str">
        <f ca="1">DBCS(INDIRECT("U12対戦スケジュール!A"&amp;(ROW()-1)/2-29))</f>
        <v>①</v>
      </c>
      <c r="C139" s="645">
        <f ca="1">INDIRECT("U12対戦スケジュール!B"&amp;(ROW()-1)/2-29)</f>
        <v>0.375</v>
      </c>
      <c r="D139" s="646"/>
      <c r="E139" s="647"/>
      <c r="F139" s="583"/>
      <c r="G139" s="583"/>
      <c r="H139" s="583"/>
      <c r="I139" s="583"/>
      <c r="J139" s="636" t="str">
        <f ca="1">VLOOKUP(AR139,U12組合せ!B$10:E$19,3,TRUE)</f>
        <v>石井ＦＣ</v>
      </c>
      <c r="K139" s="637"/>
      <c r="L139" s="637"/>
      <c r="M139" s="637"/>
      <c r="N139" s="637"/>
      <c r="O139" s="637"/>
      <c r="P139" s="637"/>
      <c r="Q139" s="635">
        <f>IF(OR(S139="",S140=""),"",S139+S140)</f>
        <v>0</v>
      </c>
      <c r="R139" s="635"/>
      <c r="S139" s="98">
        <v>0</v>
      </c>
      <c r="T139" s="99" t="s">
        <v>7</v>
      </c>
      <c r="U139" s="98">
        <v>1</v>
      </c>
      <c r="V139" s="635">
        <f>IF(OR(U139="",U140=""),"",U139+U140)</f>
        <v>2</v>
      </c>
      <c r="W139" s="635"/>
      <c r="X139" s="636" t="str">
        <f ca="1">VLOOKUP(AS139,U12組合せ!B$10:E$19,3,TRUE)</f>
        <v>Ｓ４スペランツァ</v>
      </c>
      <c r="Y139" s="637"/>
      <c r="Z139" s="637"/>
      <c r="AA139" s="637"/>
      <c r="AB139" s="637"/>
      <c r="AC139" s="637"/>
      <c r="AD139" s="637"/>
      <c r="AE139" s="583"/>
      <c r="AF139" s="583"/>
      <c r="AG139" s="583"/>
      <c r="AH139" s="583"/>
      <c r="AI139" s="634" t="str">
        <f ca="1">DBCS(VLOOKUP(B139,U12対戦スケジュール!A$39:F$41,6,TRUE))</f>
        <v>９／２／６／９</v>
      </c>
      <c r="AJ139" s="583"/>
      <c r="AK139" s="583"/>
      <c r="AL139" s="583"/>
      <c r="AM139" s="583"/>
      <c r="AN139" s="583"/>
      <c r="AO139" s="583"/>
      <c r="AP139" s="583"/>
      <c r="AR139" s="119">
        <f ca="1">INDIRECT("U12対戦スケジュール!ｃ"&amp;(ROW()-1)/2-29)</f>
        <v>2</v>
      </c>
      <c r="AS139" s="119">
        <f ca="1">INDIRECT("U12対戦スケジュール!E"&amp;(ROW()-1)/2-29)</f>
        <v>6</v>
      </c>
      <c r="AT139" s="119"/>
      <c r="AU139" s="102"/>
      <c r="AV139" s="102"/>
      <c r="AW139" s="102"/>
      <c r="AX139" s="102"/>
      <c r="AY139" s="102"/>
    </row>
    <row r="140" spans="2:51" ht="20.100000000000001" customHeight="1" x14ac:dyDescent="0.4">
      <c r="B140" s="644"/>
      <c r="C140" s="648"/>
      <c r="D140" s="649"/>
      <c r="E140" s="650"/>
      <c r="F140" s="583"/>
      <c r="G140" s="583"/>
      <c r="H140" s="583"/>
      <c r="I140" s="583"/>
      <c r="J140" s="637"/>
      <c r="K140" s="637"/>
      <c r="L140" s="637"/>
      <c r="M140" s="637"/>
      <c r="N140" s="637"/>
      <c r="O140" s="637"/>
      <c r="P140" s="637"/>
      <c r="Q140" s="635"/>
      <c r="R140" s="635"/>
      <c r="S140" s="98">
        <v>0</v>
      </c>
      <c r="T140" s="99" t="s">
        <v>7</v>
      </c>
      <c r="U140" s="98">
        <v>1</v>
      </c>
      <c r="V140" s="635"/>
      <c r="W140" s="635"/>
      <c r="X140" s="637"/>
      <c r="Y140" s="637"/>
      <c r="Z140" s="637"/>
      <c r="AA140" s="637"/>
      <c r="AB140" s="637"/>
      <c r="AC140" s="637"/>
      <c r="AD140" s="637"/>
      <c r="AE140" s="583"/>
      <c r="AF140" s="583"/>
      <c r="AG140" s="583"/>
      <c r="AH140" s="583"/>
      <c r="AI140" s="583"/>
      <c r="AJ140" s="583"/>
      <c r="AK140" s="583"/>
      <c r="AL140" s="583"/>
      <c r="AM140" s="583"/>
      <c r="AN140" s="583"/>
      <c r="AO140" s="583"/>
      <c r="AP140" s="583"/>
      <c r="AR140" s="119"/>
      <c r="AS140" s="119"/>
      <c r="AU140" s="102"/>
      <c r="AV140" s="102"/>
      <c r="AW140" s="102"/>
      <c r="AX140" s="102"/>
      <c r="AY140" s="102"/>
    </row>
    <row r="141" spans="2:51" ht="20.100000000000001" customHeight="1" x14ac:dyDescent="0.4">
      <c r="B141" s="644" t="str">
        <f ca="1">DBCS(INDIRECT("U12対戦スケジュール!A"&amp;(ROW()-1)/2-29))</f>
        <v>②</v>
      </c>
      <c r="C141" s="645">
        <f ca="1">INDIRECT("U12対戦スケジュール!B"&amp;(ROW()-1)/2-29)</f>
        <v>0.41699999999999998</v>
      </c>
      <c r="D141" s="646"/>
      <c r="E141" s="647"/>
      <c r="F141" s="583"/>
      <c r="G141" s="583"/>
      <c r="H141" s="583"/>
      <c r="I141" s="583"/>
      <c r="J141" s="636" t="str">
        <f ca="1">VLOOKUP(AR141,U12組合せ!B$10:E$19,3,TRUE)</f>
        <v>石井ＦＣ</v>
      </c>
      <c r="K141" s="637"/>
      <c r="L141" s="637"/>
      <c r="M141" s="637"/>
      <c r="N141" s="637"/>
      <c r="O141" s="637"/>
      <c r="P141" s="637"/>
      <c r="Q141" s="635">
        <f>IF(OR(S141="",S142=""),"",S141+S142)</f>
        <v>3</v>
      </c>
      <c r="R141" s="635"/>
      <c r="S141" s="98">
        <v>1</v>
      </c>
      <c r="T141" s="99" t="s">
        <v>7</v>
      </c>
      <c r="U141" s="98">
        <v>2</v>
      </c>
      <c r="V141" s="635">
        <f>IF(OR(U141="",U142=""),"",U141+U142)</f>
        <v>2</v>
      </c>
      <c r="W141" s="635"/>
      <c r="X141" s="636" t="str">
        <f ca="1">VLOOKUP(AS141,U12組合せ!B$10:E$19,3,TRUE)</f>
        <v>本郷北ＦＣ</v>
      </c>
      <c r="Y141" s="637"/>
      <c r="Z141" s="637"/>
      <c r="AA141" s="637"/>
      <c r="AB141" s="637"/>
      <c r="AC141" s="637"/>
      <c r="AD141" s="637"/>
      <c r="AE141" s="583"/>
      <c r="AF141" s="583"/>
      <c r="AG141" s="583"/>
      <c r="AH141" s="583"/>
      <c r="AI141" s="634" t="str">
        <f ca="1">DBCS(VLOOKUP(B141,U12対戦スケジュール!A$39:F$41,6,TRUE))</f>
        <v>６／９／２／６</v>
      </c>
      <c r="AJ141" s="583"/>
      <c r="AK141" s="583"/>
      <c r="AL141" s="583"/>
      <c r="AM141" s="583"/>
      <c r="AN141" s="583"/>
      <c r="AO141" s="583"/>
      <c r="AP141" s="583"/>
      <c r="AR141" s="119">
        <f ca="1">INDIRECT("U12対戦スケジュール!ｃ"&amp;(ROW()-1)/2-29)</f>
        <v>2</v>
      </c>
      <c r="AS141" s="119">
        <f ca="1">INDIRECT("U12対戦スケジュール!E"&amp;(ROW()-1)/2-29)</f>
        <v>9</v>
      </c>
    </row>
    <row r="142" spans="2:51" ht="20.100000000000001" customHeight="1" x14ac:dyDescent="0.4">
      <c r="B142" s="644"/>
      <c r="C142" s="648"/>
      <c r="D142" s="649"/>
      <c r="E142" s="650"/>
      <c r="F142" s="583"/>
      <c r="G142" s="583"/>
      <c r="H142" s="583"/>
      <c r="I142" s="583"/>
      <c r="J142" s="637"/>
      <c r="K142" s="637"/>
      <c r="L142" s="637"/>
      <c r="M142" s="637"/>
      <c r="N142" s="637"/>
      <c r="O142" s="637"/>
      <c r="P142" s="637"/>
      <c r="Q142" s="635"/>
      <c r="R142" s="635"/>
      <c r="S142" s="98">
        <v>2</v>
      </c>
      <c r="T142" s="99" t="s">
        <v>7</v>
      </c>
      <c r="U142" s="98">
        <v>0</v>
      </c>
      <c r="V142" s="635"/>
      <c r="W142" s="635"/>
      <c r="X142" s="637"/>
      <c r="Y142" s="637"/>
      <c r="Z142" s="637"/>
      <c r="AA142" s="637"/>
      <c r="AB142" s="637"/>
      <c r="AC142" s="637"/>
      <c r="AD142" s="637"/>
      <c r="AE142" s="583"/>
      <c r="AF142" s="583"/>
      <c r="AG142" s="583"/>
      <c r="AH142" s="583"/>
      <c r="AI142" s="583"/>
      <c r="AJ142" s="583"/>
      <c r="AK142" s="583"/>
      <c r="AL142" s="583"/>
      <c r="AM142" s="583"/>
      <c r="AN142" s="583"/>
      <c r="AO142" s="583"/>
      <c r="AP142" s="583"/>
      <c r="AR142" s="119"/>
      <c r="AS142" s="119"/>
    </row>
    <row r="143" spans="2:51" ht="20.100000000000001" customHeight="1" x14ac:dyDescent="0.4">
      <c r="B143" s="644" t="str">
        <f ca="1">DBCS(INDIRECT("U12対戦スケジュール!A"&amp;(ROW()-1)/2-29))</f>
        <v>③</v>
      </c>
      <c r="C143" s="645">
        <f ca="1">INDIRECT("U12対戦スケジュール!B"&amp;(ROW()-1)/2-29)</f>
        <v>0.45899999999999996</v>
      </c>
      <c r="D143" s="646"/>
      <c r="E143" s="647"/>
      <c r="F143" s="583"/>
      <c r="G143" s="583"/>
      <c r="H143" s="583"/>
      <c r="I143" s="583"/>
      <c r="J143" s="636" t="str">
        <f ca="1">VLOOKUP(AR143,U12組合せ!B$10:E$19,3,TRUE)</f>
        <v>Ｓ４スペランツァ</v>
      </c>
      <c r="K143" s="637"/>
      <c r="L143" s="637"/>
      <c r="M143" s="637"/>
      <c r="N143" s="637"/>
      <c r="O143" s="637"/>
      <c r="P143" s="637"/>
      <c r="Q143" s="635">
        <f>IF(OR(S143="",S144=""),"",S143+S144)</f>
        <v>5</v>
      </c>
      <c r="R143" s="635"/>
      <c r="S143" s="98">
        <v>4</v>
      </c>
      <c r="T143" s="99" t="s">
        <v>7</v>
      </c>
      <c r="U143" s="98">
        <v>0</v>
      </c>
      <c r="V143" s="635">
        <f>IF(OR(U143="",U144=""),"",U143+U144)</f>
        <v>0</v>
      </c>
      <c r="W143" s="635"/>
      <c r="X143" s="636" t="str">
        <f ca="1">VLOOKUP(AS143,U12組合せ!B$10:E$19,3,TRUE)</f>
        <v>本郷北ＦＣ</v>
      </c>
      <c r="Y143" s="637"/>
      <c r="Z143" s="637"/>
      <c r="AA143" s="637"/>
      <c r="AB143" s="637"/>
      <c r="AC143" s="637"/>
      <c r="AD143" s="637"/>
      <c r="AE143" s="583"/>
      <c r="AF143" s="583"/>
      <c r="AG143" s="583"/>
      <c r="AH143" s="583"/>
      <c r="AI143" s="634" t="str">
        <f ca="1">DBCS(VLOOKUP(B143,U12対戦スケジュール!A$39:F$41,6,TRUE))</f>
        <v>６／９／２／６</v>
      </c>
      <c r="AJ143" s="583"/>
      <c r="AK143" s="583"/>
      <c r="AL143" s="583"/>
      <c r="AM143" s="583"/>
      <c r="AN143" s="583"/>
      <c r="AO143" s="583"/>
      <c r="AP143" s="583"/>
      <c r="AR143" s="119">
        <f ca="1">INDIRECT("U12対戦スケジュール!ｃ"&amp;(ROW()-1)/2-29)</f>
        <v>6</v>
      </c>
      <c r="AS143" s="119">
        <f ca="1">INDIRECT("U12対戦スケジュール!E"&amp;(ROW()-1)/2-29)</f>
        <v>9</v>
      </c>
    </row>
    <row r="144" spans="2:51" ht="20.100000000000001" customHeight="1" x14ac:dyDescent="0.4">
      <c r="B144" s="644"/>
      <c r="C144" s="648"/>
      <c r="D144" s="649"/>
      <c r="E144" s="650"/>
      <c r="F144" s="583"/>
      <c r="G144" s="583"/>
      <c r="H144" s="583"/>
      <c r="I144" s="583"/>
      <c r="J144" s="637"/>
      <c r="K144" s="637"/>
      <c r="L144" s="637"/>
      <c r="M144" s="637"/>
      <c r="N144" s="637"/>
      <c r="O144" s="637"/>
      <c r="P144" s="637"/>
      <c r="Q144" s="635"/>
      <c r="R144" s="635"/>
      <c r="S144" s="98">
        <v>1</v>
      </c>
      <c r="T144" s="99" t="s">
        <v>7</v>
      </c>
      <c r="U144" s="98">
        <v>0</v>
      </c>
      <c r="V144" s="635"/>
      <c r="W144" s="635"/>
      <c r="X144" s="637"/>
      <c r="Y144" s="637"/>
      <c r="Z144" s="637"/>
      <c r="AA144" s="637"/>
      <c r="AB144" s="637"/>
      <c r="AC144" s="637"/>
      <c r="AD144" s="637"/>
      <c r="AE144" s="583"/>
      <c r="AF144" s="583"/>
      <c r="AG144" s="583"/>
      <c r="AH144" s="583"/>
      <c r="AI144" s="583"/>
      <c r="AJ144" s="583"/>
      <c r="AK144" s="583"/>
      <c r="AL144" s="583"/>
      <c r="AM144" s="583"/>
      <c r="AN144" s="583"/>
      <c r="AO144" s="583"/>
      <c r="AP144" s="583"/>
      <c r="AR144" s="119"/>
      <c r="AS144" s="119"/>
    </row>
    <row r="145" spans="1:45" ht="18" customHeight="1" x14ac:dyDescent="0.4">
      <c r="B145" s="586"/>
      <c r="C145" s="739"/>
      <c r="D145" s="740"/>
      <c r="E145" s="741"/>
      <c r="F145" s="704"/>
      <c r="G145" s="704"/>
      <c r="H145" s="704"/>
      <c r="I145" s="704"/>
      <c r="J145" s="701"/>
      <c r="K145" s="702"/>
      <c r="L145" s="702"/>
      <c r="M145" s="702"/>
      <c r="N145" s="702"/>
      <c r="O145" s="702"/>
      <c r="P145" s="702"/>
      <c r="Q145" s="705"/>
      <c r="R145" s="705"/>
      <c r="S145" s="109"/>
      <c r="T145" s="110"/>
      <c r="U145" s="109"/>
      <c r="V145" s="705"/>
      <c r="W145" s="705"/>
      <c r="X145" s="701"/>
      <c r="Y145" s="702"/>
      <c r="Z145" s="702"/>
      <c r="AA145" s="702"/>
      <c r="AB145" s="702"/>
      <c r="AC145" s="702"/>
      <c r="AD145" s="702"/>
      <c r="AE145" s="704"/>
      <c r="AF145" s="704"/>
      <c r="AG145" s="704"/>
      <c r="AH145" s="704"/>
      <c r="AI145" s="634"/>
      <c r="AJ145" s="583"/>
      <c r="AK145" s="583"/>
      <c r="AL145" s="583"/>
      <c r="AM145" s="583"/>
      <c r="AN145" s="583"/>
      <c r="AO145" s="583"/>
      <c r="AP145" s="583"/>
      <c r="AR145" s="119"/>
      <c r="AS145" s="119"/>
    </row>
    <row r="146" spans="1:45" ht="18" customHeight="1" x14ac:dyDescent="0.4">
      <c r="B146" s="644"/>
      <c r="C146" s="648"/>
      <c r="D146" s="649"/>
      <c r="E146" s="650"/>
      <c r="F146" s="583"/>
      <c r="G146" s="583"/>
      <c r="H146" s="583"/>
      <c r="I146" s="583"/>
      <c r="J146" s="703"/>
      <c r="K146" s="703"/>
      <c r="L146" s="703"/>
      <c r="M146" s="703"/>
      <c r="N146" s="703"/>
      <c r="O146" s="703"/>
      <c r="P146" s="703"/>
      <c r="Q146" s="634"/>
      <c r="R146" s="634"/>
      <c r="S146" s="100"/>
      <c r="T146" s="101"/>
      <c r="U146" s="100"/>
      <c r="V146" s="634"/>
      <c r="W146" s="634"/>
      <c r="X146" s="703"/>
      <c r="Y146" s="703"/>
      <c r="Z146" s="703"/>
      <c r="AA146" s="703"/>
      <c r="AB146" s="703"/>
      <c r="AC146" s="703"/>
      <c r="AD146" s="703"/>
      <c r="AE146" s="583"/>
      <c r="AF146" s="583"/>
      <c r="AG146" s="583"/>
      <c r="AH146" s="583"/>
      <c r="AI146" s="583"/>
      <c r="AJ146" s="583"/>
      <c r="AK146" s="583"/>
      <c r="AL146" s="583"/>
      <c r="AM146" s="583"/>
      <c r="AN146" s="583"/>
      <c r="AO146" s="583"/>
      <c r="AP146" s="583"/>
      <c r="AR146" s="119"/>
      <c r="AS146" s="119"/>
    </row>
    <row r="147" spans="1:45" ht="18" customHeight="1" x14ac:dyDescent="0.4">
      <c r="B147" s="644"/>
      <c r="C147" s="645"/>
      <c r="D147" s="646"/>
      <c r="E147" s="647"/>
      <c r="F147" s="583"/>
      <c r="G147" s="583"/>
      <c r="H147" s="583"/>
      <c r="I147" s="583"/>
      <c r="J147" s="720"/>
      <c r="K147" s="703"/>
      <c r="L147" s="703"/>
      <c r="M147" s="703"/>
      <c r="N147" s="703"/>
      <c r="O147" s="703"/>
      <c r="P147" s="703"/>
      <c r="Q147" s="634"/>
      <c r="R147" s="634"/>
      <c r="S147" s="100"/>
      <c r="T147" s="101"/>
      <c r="U147" s="100"/>
      <c r="V147" s="634"/>
      <c r="W147" s="634"/>
      <c r="X147" s="720"/>
      <c r="Y147" s="703"/>
      <c r="Z147" s="703"/>
      <c r="AA147" s="703"/>
      <c r="AB147" s="703"/>
      <c r="AC147" s="703"/>
      <c r="AD147" s="703"/>
      <c r="AE147" s="583"/>
      <c r="AF147" s="583"/>
      <c r="AG147" s="583"/>
      <c r="AH147" s="583"/>
      <c r="AI147" s="719"/>
      <c r="AJ147" s="708"/>
      <c r="AK147" s="708"/>
      <c r="AL147" s="708"/>
      <c r="AM147" s="708"/>
      <c r="AN147" s="708"/>
      <c r="AO147" s="708"/>
      <c r="AP147" s="708"/>
      <c r="AR147" s="119"/>
      <c r="AS147" s="119"/>
    </row>
    <row r="148" spans="1:45" ht="18" customHeight="1" x14ac:dyDescent="0.4">
      <c r="B148" s="644"/>
      <c r="C148" s="648"/>
      <c r="D148" s="649"/>
      <c r="E148" s="650"/>
      <c r="F148" s="583"/>
      <c r="G148" s="583"/>
      <c r="H148" s="583"/>
      <c r="I148" s="583"/>
      <c r="J148" s="703"/>
      <c r="K148" s="703"/>
      <c r="L148" s="703"/>
      <c r="M148" s="703"/>
      <c r="N148" s="703"/>
      <c r="O148" s="703"/>
      <c r="P148" s="703"/>
      <c r="Q148" s="634"/>
      <c r="R148" s="634"/>
      <c r="S148" s="100"/>
      <c r="T148" s="101"/>
      <c r="U148" s="100"/>
      <c r="V148" s="634"/>
      <c r="W148" s="634"/>
      <c r="X148" s="703"/>
      <c r="Y148" s="703"/>
      <c r="Z148" s="703"/>
      <c r="AA148" s="703"/>
      <c r="AB148" s="703"/>
      <c r="AC148" s="703"/>
      <c r="AD148" s="703"/>
      <c r="AE148" s="583"/>
      <c r="AF148" s="583"/>
      <c r="AG148" s="583"/>
      <c r="AH148" s="583"/>
      <c r="AI148" s="708"/>
      <c r="AJ148" s="708"/>
      <c r="AK148" s="708"/>
      <c r="AL148" s="708"/>
      <c r="AM148" s="708"/>
      <c r="AN148" s="708"/>
      <c r="AO148" s="708"/>
      <c r="AP148" s="708"/>
      <c r="AR148" s="119"/>
      <c r="AS148" s="119"/>
    </row>
    <row r="149" spans="1:45" ht="18" customHeight="1" x14ac:dyDescent="0.4">
      <c r="B149" s="644"/>
      <c r="C149" s="645"/>
      <c r="D149" s="646"/>
      <c r="E149" s="647"/>
      <c r="F149" s="583"/>
      <c r="G149" s="583"/>
      <c r="H149" s="583"/>
      <c r="I149" s="583"/>
      <c r="J149" s="720"/>
      <c r="K149" s="703"/>
      <c r="L149" s="703"/>
      <c r="M149" s="703"/>
      <c r="N149" s="703"/>
      <c r="O149" s="703"/>
      <c r="P149" s="703"/>
      <c r="Q149" s="634"/>
      <c r="R149" s="634"/>
      <c r="S149" s="100"/>
      <c r="T149" s="101"/>
      <c r="U149" s="100"/>
      <c r="V149" s="634"/>
      <c r="W149" s="634"/>
      <c r="X149" s="720"/>
      <c r="Y149" s="703"/>
      <c r="Z149" s="703"/>
      <c r="AA149" s="703"/>
      <c r="AB149" s="703"/>
      <c r="AC149" s="703"/>
      <c r="AD149" s="703"/>
      <c r="AE149" s="583"/>
      <c r="AF149" s="583"/>
      <c r="AG149" s="583"/>
      <c r="AH149" s="583"/>
      <c r="AI149" s="719"/>
      <c r="AJ149" s="708"/>
      <c r="AK149" s="708"/>
      <c r="AL149" s="708"/>
      <c r="AM149" s="708"/>
      <c r="AN149" s="708"/>
      <c r="AO149" s="708"/>
      <c r="AP149" s="708"/>
      <c r="AR149" s="119"/>
      <c r="AS149" s="119"/>
    </row>
    <row r="150" spans="1:45" ht="18" customHeight="1" x14ac:dyDescent="0.4">
      <c r="B150" s="644"/>
      <c r="C150" s="648"/>
      <c r="D150" s="649"/>
      <c r="E150" s="650"/>
      <c r="F150" s="583"/>
      <c r="G150" s="583"/>
      <c r="H150" s="583"/>
      <c r="I150" s="583"/>
      <c r="J150" s="703"/>
      <c r="K150" s="703"/>
      <c r="L150" s="703"/>
      <c r="M150" s="703"/>
      <c r="N150" s="703"/>
      <c r="O150" s="703"/>
      <c r="P150" s="703"/>
      <c r="Q150" s="634"/>
      <c r="R150" s="634"/>
      <c r="S150" s="100"/>
      <c r="T150" s="101"/>
      <c r="U150" s="100"/>
      <c r="V150" s="634"/>
      <c r="W150" s="634"/>
      <c r="X150" s="703"/>
      <c r="Y150" s="703"/>
      <c r="Z150" s="703"/>
      <c r="AA150" s="703"/>
      <c r="AB150" s="703"/>
      <c r="AC150" s="703"/>
      <c r="AD150" s="703"/>
      <c r="AE150" s="583"/>
      <c r="AF150" s="583"/>
      <c r="AG150" s="583"/>
      <c r="AH150" s="583"/>
      <c r="AI150" s="708"/>
      <c r="AJ150" s="708"/>
      <c r="AK150" s="708"/>
      <c r="AL150" s="708"/>
      <c r="AM150" s="708"/>
      <c r="AN150" s="708"/>
      <c r="AO150" s="708"/>
      <c r="AP150" s="708"/>
      <c r="AR150" s="119"/>
      <c r="AS150" s="119"/>
    </row>
    <row r="151" spans="1:45" ht="18" customHeight="1" x14ac:dyDescent="0.4">
      <c r="B151" s="644"/>
      <c r="C151" s="723"/>
      <c r="D151" s="723"/>
      <c r="E151" s="723"/>
      <c r="F151" s="583"/>
      <c r="G151" s="583"/>
      <c r="H151" s="583"/>
      <c r="I151" s="583"/>
      <c r="J151" s="721"/>
      <c r="K151" s="722"/>
      <c r="L151" s="722"/>
      <c r="M151" s="722"/>
      <c r="N151" s="722"/>
      <c r="O151" s="722"/>
      <c r="P151" s="722"/>
      <c r="Q151" s="634"/>
      <c r="R151" s="634"/>
      <c r="S151" s="100"/>
      <c r="T151" s="101"/>
      <c r="U151" s="100"/>
      <c r="V151" s="634"/>
      <c r="W151" s="634"/>
      <c r="X151" s="721"/>
      <c r="Y151" s="722"/>
      <c r="Z151" s="722"/>
      <c r="AA151" s="722"/>
      <c r="AB151" s="722"/>
      <c r="AC151" s="722"/>
      <c r="AD151" s="722"/>
      <c r="AE151" s="583"/>
      <c r="AF151" s="583"/>
      <c r="AG151" s="583"/>
      <c r="AH151" s="583"/>
      <c r="AI151" s="634"/>
      <c r="AJ151" s="583"/>
      <c r="AK151" s="583"/>
      <c r="AL151" s="583"/>
      <c r="AM151" s="583"/>
      <c r="AN151" s="583"/>
      <c r="AO151" s="583"/>
      <c r="AP151" s="583"/>
      <c r="AR151" s="119"/>
      <c r="AS151" s="119"/>
    </row>
    <row r="152" spans="1:45" ht="18" customHeight="1" x14ac:dyDescent="0.4">
      <c r="B152" s="644"/>
      <c r="C152" s="723"/>
      <c r="D152" s="723"/>
      <c r="E152" s="723"/>
      <c r="F152" s="583"/>
      <c r="G152" s="583"/>
      <c r="H152" s="583"/>
      <c r="I152" s="583"/>
      <c r="J152" s="722"/>
      <c r="K152" s="722"/>
      <c r="L152" s="722"/>
      <c r="M152" s="722"/>
      <c r="N152" s="722"/>
      <c r="O152" s="722"/>
      <c r="P152" s="722"/>
      <c r="Q152" s="634"/>
      <c r="R152" s="634"/>
      <c r="S152" s="100"/>
      <c r="T152" s="101"/>
      <c r="U152" s="100"/>
      <c r="V152" s="634"/>
      <c r="W152" s="634"/>
      <c r="X152" s="722"/>
      <c r="Y152" s="722"/>
      <c r="Z152" s="722"/>
      <c r="AA152" s="722"/>
      <c r="AB152" s="722"/>
      <c r="AC152" s="722"/>
      <c r="AD152" s="722"/>
      <c r="AE152" s="583"/>
      <c r="AF152" s="583"/>
      <c r="AG152" s="583"/>
      <c r="AH152" s="583"/>
      <c r="AI152" s="583"/>
      <c r="AJ152" s="583"/>
      <c r="AK152" s="583"/>
      <c r="AL152" s="583"/>
      <c r="AM152" s="583"/>
      <c r="AN152" s="583"/>
      <c r="AO152" s="583"/>
      <c r="AP152" s="583"/>
      <c r="AR152" s="119"/>
      <c r="AS152" s="119"/>
    </row>
    <row r="153" spans="1:45" ht="15.75" customHeight="1" thickBot="1" x14ac:dyDescent="0.45">
      <c r="A153" s="102"/>
      <c r="B153" s="103"/>
      <c r="C153" s="104"/>
      <c r="D153" s="104"/>
      <c r="E153" s="104"/>
      <c r="F153" s="103"/>
      <c r="G153" s="103"/>
      <c r="H153" s="103"/>
      <c r="I153" s="103"/>
      <c r="J153" s="103"/>
      <c r="K153" s="105"/>
      <c r="L153" s="105"/>
      <c r="M153" s="106"/>
      <c r="N153" s="107"/>
      <c r="O153" s="106"/>
      <c r="P153" s="105"/>
      <c r="Q153" s="105"/>
      <c r="R153" s="103"/>
      <c r="S153" s="103"/>
      <c r="T153" s="103"/>
      <c r="U153" s="103"/>
      <c r="V153" s="103"/>
      <c r="W153" s="108"/>
      <c r="X153" s="108"/>
      <c r="Y153" s="108"/>
      <c r="Z153" s="108"/>
      <c r="AA153" s="108"/>
      <c r="AB153" s="108"/>
      <c r="AC153" s="102"/>
    </row>
    <row r="154" spans="1:45" ht="20.25" customHeight="1" x14ac:dyDescent="0.4">
      <c r="D154" s="714" t="s">
        <v>8</v>
      </c>
      <c r="E154" s="715"/>
      <c r="F154" s="715"/>
      <c r="G154" s="715"/>
      <c r="H154" s="715"/>
      <c r="I154" s="715"/>
      <c r="J154" s="715" t="s">
        <v>5</v>
      </c>
      <c r="K154" s="715"/>
      <c r="L154" s="715"/>
      <c r="M154" s="715"/>
      <c r="N154" s="715"/>
      <c r="O154" s="715"/>
      <c r="P154" s="715"/>
      <c r="Q154" s="715"/>
      <c r="R154" s="614" t="s">
        <v>9</v>
      </c>
      <c r="S154" s="614"/>
      <c r="T154" s="614"/>
      <c r="U154" s="614"/>
      <c r="V154" s="614"/>
      <c r="W154" s="614"/>
      <c r="X154" s="614"/>
      <c r="Y154" s="614"/>
      <c r="Z154" s="614"/>
      <c r="AA154" s="615" t="s">
        <v>10</v>
      </c>
      <c r="AB154" s="615"/>
      <c r="AC154" s="615"/>
      <c r="AD154" s="615" t="s">
        <v>11</v>
      </c>
      <c r="AE154" s="615"/>
      <c r="AF154" s="615"/>
      <c r="AG154" s="615"/>
      <c r="AH154" s="615"/>
      <c r="AI154" s="615"/>
      <c r="AJ154" s="615"/>
      <c r="AK154" s="615"/>
      <c r="AL154" s="615"/>
      <c r="AM154" s="643"/>
    </row>
    <row r="155" spans="1:45" ht="30" customHeight="1" x14ac:dyDescent="0.4">
      <c r="D155" s="718" t="s">
        <v>12</v>
      </c>
      <c r="E155" s="644"/>
      <c r="F155" s="644"/>
      <c r="G155" s="644"/>
      <c r="H155" s="644"/>
      <c r="I155" s="644"/>
      <c r="J155" s="644"/>
      <c r="K155" s="644"/>
      <c r="L155" s="644"/>
      <c r="M155" s="644"/>
      <c r="N155" s="644"/>
      <c r="O155" s="644"/>
      <c r="P155" s="644"/>
      <c r="Q155" s="644"/>
      <c r="R155" s="639"/>
      <c r="S155" s="639"/>
      <c r="T155" s="639"/>
      <c r="U155" s="639"/>
      <c r="V155" s="639"/>
      <c r="W155" s="639"/>
      <c r="X155" s="639"/>
      <c r="Y155" s="639"/>
      <c r="Z155" s="639"/>
      <c r="AA155" s="724"/>
      <c r="AB155" s="724"/>
      <c r="AC155" s="724"/>
      <c r="AD155" s="595"/>
      <c r="AE155" s="595"/>
      <c r="AF155" s="595"/>
      <c r="AG155" s="595"/>
      <c r="AH155" s="595"/>
      <c r="AI155" s="595"/>
      <c r="AJ155" s="595"/>
      <c r="AK155" s="595"/>
      <c r="AL155" s="595"/>
      <c r="AM155" s="596"/>
    </row>
    <row r="156" spans="1:45" ht="30" customHeight="1" x14ac:dyDescent="0.4">
      <c r="D156" s="718" t="s">
        <v>12</v>
      </c>
      <c r="E156" s="644"/>
      <c r="F156" s="644"/>
      <c r="G156" s="644"/>
      <c r="H156" s="644"/>
      <c r="I156" s="644"/>
      <c r="J156" s="644"/>
      <c r="K156" s="644"/>
      <c r="L156" s="644"/>
      <c r="M156" s="644"/>
      <c r="N156" s="644"/>
      <c r="O156" s="644"/>
      <c r="P156" s="644"/>
      <c r="Q156" s="644"/>
      <c r="R156" s="639"/>
      <c r="S156" s="639"/>
      <c r="T156" s="639"/>
      <c r="U156" s="639"/>
      <c r="V156" s="639"/>
      <c r="W156" s="639"/>
      <c r="X156" s="639"/>
      <c r="Y156" s="639"/>
      <c r="Z156" s="639"/>
      <c r="AA156" s="613"/>
      <c r="AB156" s="613"/>
      <c r="AC156" s="613"/>
      <c r="AD156" s="595"/>
      <c r="AE156" s="595"/>
      <c r="AF156" s="595"/>
      <c r="AG156" s="595"/>
      <c r="AH156" s="595"/>
      <c r="AI156" s="595"/>
      <c r="AJ156" s="595"/>
      <c r="AK156" s="595"/>
      <c r="AL156" s="595"/>
      <c r="AM156" s="596"/>
    </row>
    <row r="157" spans="1:45" ht="30" customHeight="1" thickBot="1" x14ac:dyDescent="0.45">
      <c r="D157" s="616" t="s">
        <v>12</v>
      </c>
      <c r="E157" s="617"/>
      <c r="F157" s="617"/>
      <c r="G157" s="617"/>
      <c r="H157" s="617"/>
      <c r="I157" s="617"/>
      <c r="J157" s="617"/>
      <c r="K157" s="617"/>
      <c r="L157" s="617"/>
      <c r="M157" s="617"/>
      <c r="N157" s="617"/>
      <c r="O157" s="617"/>
      <c r="P157" s="617"/>
      <c r="Q157" s="617"/>
      <c r="R157" s="716"/>
      <c r="S157" s="716"/>
      <c r="T157" s="716"/>
      <c r="U157" s="716"/>
      <c r="V157" s="716"/>
      <c r="W157" s="716"/>
      <c r="X157" s="716"/>
      <c r="Y157" s="716"/>
      <c r="Z157" s="716"/>
      <c r="AA157" s="717"/>
      <c r="AB157" s="717"/>
      <c r="AC157" s="717"/>
      <c r="AD157" s="641"/>
      <c r="AE157" s="641"/>
      <c r="AF157" s="641"/>
      <c r="AG157" s="641"/>
      <c r="AH157" s="641"/>
      <c r="AI157" s="641"/>
      <c r="AJ157" s="641"/>
      <c r="AK157" s="641"/>
      <c r="AL157" s="641"/>
      <c r="AM157" s="642"/>
    </row>
    <row r="158" spans="1:45" ht="28.5" customHeight="1" x14ac:dyDescent="0.4">
      <c r="A158" s="115"/>
      <c r="B158" s="640" t="str">
        <f>U12組合せ!$B$1</f>
        <v>ＪＦＡ　Ｕ-１２サッカーリーグ2021（in栃木） 宇都宮地区リーグ戦（前期）</v>
      </c>
      <c r="C158" s="640"/>
      <c r="D158" s="640"/>
      <c r="E158" s="640"/>
      <c r="F158" s="640"/>
      <c r="G158" s="640"/>
      <c r="H158" s="640"/>
      <c r="I158" s="640"/>
      <c r="J158" s="640"/>
      <c r="K158" s="640"/>
      <c r="L158" s="640"/>
      <c r="M158" s="640"/>
      <c r="N158" s="640"/>
      <c r="O158" s="640"/>
      <c r="P158" s="640"/>
      <c r="Q158" s="640"/>
      <c r="R158" s="640"/>
      <c r="S158" s="640"/>
      <c r="T158" s="640"/>
      <c r="U158" s="640"/>
      <c r="V158" s="640"/>
      <c r="W158" s="640"/>
      <c r="X158" s="640"/>
      <c r="Y158" s="640"/>
      <c r="Z158" s="640"/>
      <c r="AA158" s="640"/>
      <c r="AB158" s="640"/>
      <c r="AC158" s="612" t="str">
        <f>"【"&amp;(U12組合せ!$D$3)&amp;"】"</f>
        <v>【Ａ ブロック】</v>
      </c>
      <c r="AD158" s="612"/>
      <c r="AE158" s="612"/>
      <c r="AF158" s="612"/>
      <c r="AG158" s="612"/>
      <c r="AH158" s="612"/>
      <c r="AI158" s="612"/>
      <c r="AJ158" s="612"/>
      <c r="AK158" s="612" t="str">
        <f>"第"&amp;(U12組合せ!$D$27)</f>
        <v>第２節</v>
      </c>
      <c r="AL158" s="612"/>
      <c r="AM158" s="612"/>
      <c r="AN158" s="612"/>
      <c r="AO158" s="612"/>
      <c r="AP158" s="593" t="s">
        <v>301</v>
      </c>
      <c r="AQ158" s="594"/>
    </row>
    <row r="159" spans="1:45" ht="21" customHeight="1" x14ac:dyDescent="0.4">
      <c r="A159" s="115"/>
      <c r="B159" s="640"/>
      <c r="C159" s="640"/>
      <c r="D159" s="640"/>
      <c r="E159" s="640"/>
      <c r="F159" s="640"/>
      <c r="G159" s="640"/>
      <c r="H159" s="640"/>
      <c r="I159" s="640"/>
      <c r="J159" s="640"/>
      <c r="K159" s="640"/>
      <c r="L159" s="640"/>
      <c r="M159" s="640"/>
      <c r="N159" s="640"/>
      <c r="O159" s="640"/>
      <c r="P159" s="640"/>
      <c r="Q159" s="640"/>
      <c r="R159" s="640"/>
      <c r="S159" s="640"/>
      <c r="T159" s="640"/>
      <c r="U159" s="640"/>
      <c r="V159" s="640"/>
      <c r="W159" s="640"/>
      <c r="X159" s="640"/>
      <c r="Y159" s="640"/>
      <c r="Z159" s="640"/>
      <c r="AA159" s="640"/>
      <c r="AB159" s="640"/>
      <c r="AC159" s="612"/>
      <c r="AD159" s="612"/>
      <c r="AE159" s="612"/>
      <c r="AF159" s="612"/>
      <c r="AG159" s="612"/>
      <c r="AH159" s="612"/>
      <c r="AI159" s="612"/>
      <c r="AJ159" s="612"/>
      <c r="AK159" s="612"/>
      <c r="AL159" s="612"/>
      <c r="AM159" s="612"/>
      <c r="AN159" s="612"/>
      <c r="AO159" s="612"/>
      <c r="AP159" s="594"/>
      <c r="AQ159" s="594"/>
    </row>
    <row r="160" spans="1:45" ht="27.75" customHeight="1" x14ac:dyDescent="0.4">
      <c r="C160" s="635" t="s">
        <v>1</v>
      </c>
      <c r="D160" s="635"/>
      <c r="E160" s="635"/>
      <c r="F160" s="635"/>
      <c r="G160" s="636" t="str">
        <f>U12対戦スケジュール!C45</f>
        <v>GP白沢南 PM</v>
      </c>
      <c r="H160" s="636"/>
      <c r="I160" s="636"/>
      <c r="J160" s="636"/>
      <c r="K160" s="636"/>
      <c r="L160" s="636"/>
      <c r="M160" s="636"/>
      <c r="N160" s="636"/>
      <c r="O160" s="636"/>
      <c r="P160" s="635" t="s">
        <v>0</v>
      </c>
      <c r="Q160" s="635"/>
      <c r="R160" s="635"/>
      <c r="S160" s="635"/>
      <c r="T160" s="636" t="str">
        <f>AG164</f>
        <v>FCアネーロ・U-12</v>
      </c>
      <c r="U160" s="636"/>
      <c r="V160" s="636"/>
      <c r="W160" s="636"/>
      <c r="X160" s="636"/>
      <c r="Y160" s="636"/>
      <c r="Z160" s="636"/>
      <c r="AA160" s="636"/>
      <c r="AB160" s="636"/>
      <c r="AC160" s="635" t="s">
        <v>2</v>
      </c>
      <c r="AD160" s="635"/>
      <c r="AE160" s="635"/>
      <c r="AF160" s="635"/>
      <c r="AG160" s="618">
        <f>U12対戦スケジュール!F27</f>
        <v>44310</v>
      </c>
      <c r="AH160" s="619"/>
      <c r="AI160" s="619"/>
      <c r="AJ160" s="619"/>
      <c r="AK160" s="619"/>
      <c r="AL160" s="619"/>
      <c r="AM160" s="620" t="str">
        <f>"（"&amp;TEXT(AG160,"aaa")&amp;"）"</f>
        <v>（土）</v>
      </c>
      <c r="AN160" s="620"/>
      <c r="AO160" s="621"/>
    </row>
    <row r="161" spans="2:47" ht="15" customHeight="1" x14ac:dyDescent="0.4">
      <c r="C161" s="102" t="str">
        <f>U12組合せ!E32</f>
        <v>A3710</v>
      </c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95"/>
      <c r="X161" s="95"/>
      <c r="Y161" s="95"/>
      <c r="Z161" s="95"/>
      <c r="AA161" s="95"/>
      <c r="AB161" s="95"/>
      <c r="AC161" s="95"/>
    </row>
    <row r="162" spans="2:47" ht="29.25" customHeight="1" x14ac:dyDescent="0.4">
      <c r="C162" s="637">
        <v>1</v>
      </c>
      <c r="D162" s="637"/>
      <c r="E162" s="584" t="str">
        <f>VLOOKUP(C162,U12組合せ!B$10:K$19,3,TRUE)</f>
        <v>富士見ＳＳＳ</v>
      </c>
      <c r="F162" s="584"/>
      <c r="G162" s="584"/>
      <c r="H162" s="584"/>
      <c r="I162" s="584"/>
      <c r="J162" s="584"/>
      <c r="K162" s="584"/>
      <c r="L162" s="584"/>
      <c r="M162" s="584"/>
      <c r="N162" s="584"/>
      <c r="O162" s="94"/>
      <c r="P162" s="94"/>
      <c r="Q162" s="637">
        <v>5</v>
      </c>
      <c r="R162" s="637"/>
      <c r="S162" s="584" t="str">
        <f>VLOOKUP(Q162,U12組合せ!B$10:K$19,3,TRUE)</f>
        <v>ブラッドレスＳＣ</v>
      </c>
      <c r="T162" s="584"/>
      <c r="U162" s="584"/>
      <c r="V162" s="584"/>
      <c r="W162" s="584"/>
      <c r="X162" s="584"/>
      <c r="Y162" s="584"/>
      <c r="Z162" s="584"/>
      <c r="AA162" s="584"/>
      <c r="AB162" s="584"/>
      <c r="AC162" s="92"/>
      <c r="AD162" s="93"/>
      <c r="AE162" s="637">
        <v>8</v>
      </c>
      <c r="AF162" s="637"/>
      <c r="AG162" s="584" t="str">
        <f>VLOOKUP(AE162,U12組合せ!B$10:'U12組合せ'!K$19,3,TRUE)</f>
        <v>国本ＪＳＣ</v>
      </c>
      <c r="AH162" s="584"/>
      <c r="AI162" s="584"/>
      <c r="AJ162" s="584"/>
      <c r="AK162" s="584"/>
      <c r="AL162" s="584"/>
      <c r="AM162" s="584"/>
      <c r="AN162" s="584"/>
      <c r="AO162" s="584"/>
      <c r="AP162" s="584"/>
      <c r="AS162" s="96">
        <f>170/2</f>
        <v>85</v>
      </c>
    </row>
    <row r="163" spans="2:47" ht="29.25" customHeight="1" x14ac:dyDescent="0.4">
      <c r="C163" s="637">
        <v>2</v>
      </c>
      <c r="D163" s="637"/>
      <c r="E163" s="584" t="str">
        <f>VLOOKUP(C163,U12組合せ!B$10:K$19,3,TRUE)</f>
        <v>石井ＦＣ</v>
      </c>
      <c r="F163" s="584"/>
      <c r="G163" s="584"/>
      <c r="H163" s="584"/>
      <c r="I163" s="584"/>
      <c r="J163" s="584"/>
      <c r="K163" s="584"/>
      <c r="L163" s="584"/>
      <c r="M163" s="584"/>
      <c r="N163" s="584"/>
      <c r="O163" s="94"/>
      <c r="P163" s="94"/>
      <c r="Q163" s="637">
        <v>6</v>
      </c>
      <c r="R163" s="637"/>
      <c r="S163" s="584" t="str">
        <f>VLOOKUP(Q163,U12組合せ!B$10:'U12組合せ'!K$19,3,TRUE)</f>
        <v>Ｓ４スペランツァ</v>
      </c>
      <c r="T163" s="584"/>
      <c r="U163" s="584"/>
      <c r="V163" s="584"/>
      <c r="W163" s="584"/>
      <c r="X163" s="584"/>
      <c r="Y163" s="584"/>
      <c r="Z163" s="584"/>
      <c r="AA163" s="584"/>
      <c r="AB163" s="584"/>
      <c r="AC163" s="92"/>
      <c r="AD163" s="93"/>
      <c r="AE163" s="637">
        <v>9</v>
      </c>
      <c r="AF163" s="637"/>
      <c r="AG163" s="584" t="str">
        <f>VLOOKUP(AE163,U12組合せ!B$10:'U12組合せ'!K$19,3,TRUE)</f>
        <v>本郷北ＦＣ</v>
      </c>
      <c r="AH163" s="584"/>
      <c r="AI163" s="584"/>
      <c r="AJ163" s="584"/>
      <c r="AK163" s="584"/>
      <c r="AL163" s="584"/>
      <c r="AM163" s="584"/>
      <c r="AN163" s="584"/>
      <c r="AO163" s="584"/>
      <c r="AP163" s="584"/>
      <c r="AS163" s="96">
        <v>47</v>
      </c>
    </row>
    <row r="164" spans="2:47" ht="29.25" customHeight="1" x14ac:dyDescent="0.4">
      <c r="C164" s="636">
        <v>3</v>
      </c>
      <c r="D164" s="636"/>
      <c r="E164" s="709" t="str">
        <f>VLOOKUP(C164,U12組合せ!B$10:K$19,3,TRUE)</f>
        <v>unionscU12</v>
      </c>
      <c r="F164" s="709"/>
      <c r="G164" s="709"/>
      <c r="H164" s="709"/>
      <c r="I164" s="709"/>
      <c r="J164" s="709"/>
      <c r="K164" s="709"/>
      <c r="L164" s="709"/>
      <c r="M164" s="709"/>
      <c r="N164" s="709"/>
      <c r="O164" s="94"/>
      <c r="P164" s="94"/>
      <c r="Q164" s="636">
        <v>7</v>
      </c>
      <c r="R164" s="636"/>
      <c r="S164" s="709" t="str">
        <f>VLOOKUP(Q164,U12組合せ!B$10:'U12組合せ'!K$19,3,TRUE)</f>
        <v>上河内ＪＳＣ</v>
      </c>
      <c r="T164" s="709"/>
      <c r="U164" s="709"/>
      <c r="V164" s="709"/>
      <c r="W164" s="709"/>
      <c r="X164" s="709"/>
      <c r="Y164" s="709"/>
      <c r="Z164" s="709"/>
      <c r="AA164" s="709"/>
      <c r="AB164" s="709"/>
      <c r="AC164" s="92"/>
      <c r="AD164" s="93"/>
      <c r="AE164" s="636">
        <v>10</v>
      </c>
      <c r="AF164" s="636"/>
      <c r="AG164" s="709" t="str">
        <f>VLOOKUP(AE164,U12組合せ!B$10:'U12組合せ'!K$19,3,TRUE)</f>
        <v>FCアネーロ・U-12</v>
      </c>
      <c r="AH164" s="709"/>
      <c r="AI164" s="709"/>
      <c r="AJ164" s="709"/>
      <c r="AK164" s="709"/>
      <c r="AL164" s="709"/>
      <c r="AM164" s="709"/>
      <c r="AN164" s="709"/>
      <c r="AO164" s="709"/>
      <c r="AP164" s="709"/>
      <c r="AS164" s="96">
        <f>AS162-AS163</f>
        <v>38</v>
      </c>
    </row>
    <row r="165" spans="2:47" ht="29.25" customHeight="1" x14ac:dyDescent="0.4">
      <c r="B165" s="102"/>
      <c r="C165" s="637">
        <v>4</v>
      </c>
      <c r="D165" s="637"/>
      <c r="E165" s="584" t="str">
        <f>VLOOKUP(C165,U12組合せ!B$10:K$19,3,TRUE)</f>
        <v>ＳＵＧＡＯ・ＳＣ</v>
      </c>
      <c r="F165" s="584"/>
      <c r="G165" s="584"/>
      <c r="H165" s="584"/>
      <c r="I165" s="584"/>
      <c r="J165" s="584"/>
      <c r="K165" s="584"/>
      <c r="L165" s="584"/>
      <c r="M165" s="584"/>
      <c r="N165" s="584"/>
      <c r="O165" s="94"/>
      <c r="P165" s="94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2"/>
      <c r="AD165" s="94"/>
      <c r="AE165" s="94"/>
      <c r="AF165" s="94"/>
      <c r="AG165" s="94"/>
      <c r="AH165" s="93"/>
      <c r="AI165" s="93"/>
      <c r="AJ165" s="93"/>
      <c r="AK165" s="93"/>
      <c r="AL165" s="93"/>
      <c r="AM165" s="93"/>
      <c r="AN165" s="93"/>
      <c r="AO165" s="93"/>
      <c r="AP165" s="93"/>
    </row>
    <row r="166" spans="2:47" ht="6" customHeight="1" x14ac:dyDescent="0.4">
      <c r="O166" s="102"/>
      <c r="P166" s="102"/>
      <c r="AC166" s="95"/>
    </row>
    <row r="167" spans="2:47" ht="6" customHeight="1" x14ac:dyDescent="0.4">
      <c r="C167" s="117"/>
      <c r="D167" s="118"/>
      <c r="E167" s="118"/>
      <c r="F167" s="118"/>
      <c r="G167" s="118"/>
      <c r="H167" s="118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18"/>
      <c r="U167" s="102"/>
      <c r="V167" s="118"/>
      <c r="W167" s="102"/>
      <c r="X167" s="118"/>
      <c r="Y167" s="102"/>
      <c r="Z167" s="118"/>
      <c r="AA167" s="102"/>
      <c r="AB167" s="118"/>
      <c r="AC167" s="118"/>
    </row>
    <row r="168" spans="2:47" ht="21" customHeight="1" x14ac:dyDescent="0.4">
      <c r="B168" s="118" t="str">
        <f ca="1">IF(B170="①","【監督会議 8：20～】","【監督会議 12：50～】")</f>
        <v>【監督会議 12：50～】</v>
      </c>
      <c r="I168" s="96" t="s">
        <v>330</v>
      </c>
    </row>
    <row r="169" spans="2:47" ht="20.25" customHeight="1" x14ac:dyDescent="0.4">
      <c r="B169" s="97"/>
      <c r="C169" s="711" t="s">
        <v>3</v>
      </c>
      <c r="D169" s="711"/>
      <c r="E169" s="711"/>
      <c r="F169" s="712" t="s">
        <v>4</v>
      </c>
      <c r="G169" s="712"/>
      <c r="H169" s="712"/>
      <c r="I169" s="712"/>
      <c r="J169" s="711" t="s">
        <v>5</v>
      </c>
      <c r="K169" s="713"/>
      <c r="L169" s="713"/>
      <c r="M169" s="713"/>
      <c r="N169" s="713"/>
      <c r="O169" s="713"/>
      <c r="P169" s="713"/>
      <c r="Q169" s="711" t="s">
        <v>32</v>
      </c>
      <c r="R169" s="711"/>
      <c r="S169" s="711"/>
      <c r="T169" s="711"/>
      <c r="U169" s="711"/>
      <c r="V169" s="711"/>
      <c r="W169" s="711"/>
      <c r="X169" s="711" t="s">
        <v>5</v>
      </c>
      <c r="Y169" s="713"/>
      <c r="Z169" s="713"/>
      <c r="AA169" s="713"/>
      <c r="AB169" s="713"/>
      <c r="AC169" s="713"/>
      <c r="AD169" s="713"/>
      <c r="AE169" s="712" t="s">
        <v>4</v>
      </c>
      <c r="AF169" s="712"/>
      <c r="AG169" s="712"/>
      <c r="AH169" s="712"/>
      <c r="AI169" s="711" t="s">
        <v>6</v>
      </c>
      <c r="AJ169" s="711"/>
      <c r="AK169" s="713"/>
      <c r="AL169" s="713"/>
      <c r="AM169" s="713"/>
      <c r="AN169" s="713"/>
      <c r="AO169" s="713"/>
      <c r="AP169" s="713"/>
      <c r="AU169" s="102"/>
    </row>
    <row r="170" spans="2:47" ht="20.100000000000001" customHeight="1" x14ac:dyDescent="0.4">
      <c r="B170" s="644" t="str">
        <f ca="1">DBCS(INDIRECT("U12対戦スケジュール!A"&amp;(ROW())/2-38))</f>
        <v>④</v>
      </c>
      <c r="C170" s="645">
        <f ca="1">INDIRECT("U12対戦スケジュール!B"&amp;(ROW())/2-38)</f>
        <v>0.5625</v>
      </c>
      <c r="D170" s="646"/>
      <c r="E170" s="647"/>
      <c r="F170" s="583"/>
      <c r="G170" s="583"/>
      <c r="H170" s="583"/>
      <c r="I170" s="583"/>
      <c r="J170" s="636" t="str">
        <f ca="1">VLOOKUP(AR170,U12組合せ!B$10:E$19,3,TRUE)</f>
        <v>unionscU12</v>
      </c>
      <c r="K170" s="637"/>
      <c r="L170" s="637"/>
      <c r="M170" s="637"/>
      <c r="N170" s="637"/>
      <c r="O170" s="637"/>
      <c r="P170" s="637"/>
      <c r="Q170" s="635">
        <f>IF(OR(S170="",S171=""),"",S170+S171)</f>
        <v>6</v>
      </c>
      <c r="R170" s="635"/>
      <c r="S170" s="98">
        <v>4</v>
      </c>
      <c r="T170" s="99" t="s">
        <v>7</v>
      </c>
      <c r="U170" s="98">
        <v>0</v>
      </c>
      <c r="V170" s="635">
        <f>IF(OR(U170="",U171=""),"",U170+U171)</f>
        <v>1</v>
      </c>
      <c r="W170" s="635"/>
      <c r="X170" s="636" t="str">
        <f ca="1">VLOOKUP(AS170,U12組合せ!B$10:E$19,3,TRUE)</f>
        <v>上河内ＪＳＣ</v>
      </c>
      <c r="Y170" s="637"/>
      <c r="Z170" s="637"/>
      <c r="AA170" s="637"/>
      <c r="AB170" s="637"/>
      <c r="AC170" s="637"/>
      <c r="AD170" s="637"/>
      <c r="AE170" s="583"/>
      <c r="AF170" s="583"/>
      <c r="AG170" s="583"/>
      <c r="AH170" s="583"/>
      <c r="AI170" s="737" t="str">
        <f ca="1">DBCS(VLOOKUP(B170,U12対戦スケジュール!A$47:F$49,6,TRUE))</f>
        <v>１０／３／７／１０</v>
      </c>
      <c r="AJ170" s="738" t="e">
        <v>#REF!</v>
      </c>
      <c r="AK170" s="738" t="e">
        <v>#REF!</v>
      </c>
      <c r="AL170" s="738" t="e">
        <v>#REF!</v>
      </c>
      <c r="AM170" s="738" t="e">
        <v>#REF!</v>
      </c>
      <c r="AN170" s="738" t="e">
        <v>#REF!</v>
      </c>
      <c r="AO170" s="738" t="e">
        <v>#REF!</v>
      </c>
      <c r="AP170" s="738" t="e">
        <v>#REF!</v>
      </c>
      <c r="AR170" s="119">
        <f ca="1">INDIRECT("U12対戦スケジュール!ｃ"&amp;(ROW())/2-38)</f>
        <v>3</v>
      </c>
      <c r="AS170" s="119">
        <f ca="1">INDIRECT("U12対戦スケジュール!E"&amp;(ROW())/2-38)</f>
        <v>7</v>
      </c>
      <c r="AT170" s="119"/>
      <c r="AU170" s="102"/>
    </row>
    <row r="171" spans="2:47" ht="20.100000000000001" customHeight="1" x14ac:dyDescent="0.4">
      <c r="B171" s="644"/>
      <c r="C171" s="648"/>
      <c r="D171" s="649"/>
      <c r="E171" s="650"/>
      <c r="F171" s="583"/>
      <c r="G171" s="583"/>
      <c r="H171" s="583"/>
      <c r="I171" s="583"/>
      <c r="J171" s="637"/>
      <c r="K171" s="637"/>
      <c r="L171" s="637"/>
      <c r="M171" s="637"/>
      <c r="N171" s="637"/>
      <c r="O171" s="637"/>
      <c r="P171" s="637"/>
      <c r="Q171" s="635"/>
      <c r="R171" s="635"/>
      <c r="S171" s="98">
        <v>2</v>
      </c>
      <c r="T171" s="99" t="s">
        <v>7</v>
      </c>
      <c r="U171" s="98">
        <v>1</v>
      </c>
      <c r="V171" s="635"/>
      <c r="W171" s="635"/>
      <c r="X171" s="637"/>
      <c r="Y171" s="637"/>
      <c r="Z171" s="637"/>
      <c r="AA171" s="637"/>
      <c r="AB171" s="637"/>
      <c r="AC171" s="637"/>
      <c r="AD171" s="637"/>
      <c r="AE171" s="583"/>
      <c r="AF171" s="583"/>
      <c r="AG171" s="583"/>
      <c r="AH171" s="583"/>
      <c r="AI171" s="738" t="e">
        <v>#REF!</v>
      </c>
      <c r="AJ171" s="738" t="e">
        <v>#REF!</v>
      </c>
      <c r="AK171" s="738" t="e">
        <v>#REF!</v>
      </c>
      <c r="AL171" s="738" t="e">
        <v>#REF!</v>
      </c>
      <c r="AM171" s="738" t="e">
        <v>#REF!</v>
      </c>
      <c r="AN171" s="738" t="e">
        <v>#REF!</v>
      </c>
      <c r="AO171" s="738" t="e">
        <v>#REF!</v>
      </c>
      <c r="AP171" s="738" t="e">
        <v>#REF!</v>
      </c>
      <c r="AR171" s="119"/>
      <c r="AS171" s="119"/>
      <c r="AU171" s="102"/>
    </row>
    <row r="172" spans="2:47" ht="20.100000000000001" customHeight="1" x14ac:dyDescent="0.4">
      <c r="B172" s="644" t="str">
        <f ca="1">DBCS(INDIRECT("U12対戦スケジュール!A"&amp;(ROW())/2-38))</f>
        <v>⑤</v>
      </c>
      <c r="C172" s="645">
        <f ca="1">INDIRECT("U12対戦スケジュール!B"&amp;(ROW())/2-38)</f>
        <v>0.60450000000000004</v>
      </c>
      <c r="D172" s="646"/>
      <c r="E172" s="647"/>
      <c r="F172" s="583"/>
      <c r="G172" s="583"/>
      <c r="H172" s="583"/>
      <c r="I172" s="583"/>
      <c r="J172" s="636" t="str">
        <f ca="1">VLOOKUP(AR172,U12組合せ!B$10:E$19,3,TRUE)</f>
        <v>FCアネーロ・U-12</v>
      </c>
      <c r="K172" s="637"/>
      <c r="L172" s="637"/>
      <c r="M172" s="637"/>
      <c r="N172" s="637"/>
      <c r="O172" s="637"/>
      <c r="P172" s="637"/>
      <c r="Q172" s="635">
        <f>IF(OR(S172="",S173=""),"",S172+S173)</f>
        <v>4</v>
      </c>
      <c r="R172" s="635"/>
      <c r="S172" s="98">
        <v>1</v>
      </c>
      <c r="T172" s="99" t="s">
        <v>7</v>
      </c>
      <c r="U172" s="98">
        <v>0</v>
      </c>
      <c r="V172" s="635">
        <f>IF(OR(U172="",U173=""),"",U172+U173)</f>
        <v>0</v>
      </c>
      <c r="W172" s="635"/>
      <c r="X172" s="636" t="str">
        <f ca="1">VLOOKUP(AS172,U12組合せ!B$10:E$19,3,TRUE)</f>
        <v>上河内ＪＳＣ</v>
      </c>
      <c r="Y172" s="637"/>
      <c r="Z172" s="637"/>
      <c r="AA172" s="637"/>
      <c r="AB172" s="637"/>
      <c r="AC172" s="637"/>
      <c r="AD172" s="637"/>
      <c r="AE172" s="583"/>
      <c r="AF172" s="583"/>
      <c r="AG172" s="583"/>
      <c r="AH172" s="583"/>
      <c r="AI172" s="737" t="str">
        <f ca="1">DBCS(VLOOKUP(B172,U12対戦スケジュール!A$47:F$49,6,TRUE))</f>
        <v>３／７／１０／３</v>
      </c>
      <c r="AJ172" s="738" t="e">
        <v>#REF!</v>
      </c>
      <c r="AK172" s="738" t="e">
        <v>#REF!</v>
      </c>
      <c r="AL172" s="738" t="e">
        <v>#REF!</v>
      </c>
      <c r="AM172" s="738" t="e">
        <v>#REF!</v>
      </c>
      <c r="AN172" s="738" t="e">
        <v>#REF!</v>
      </c>
      <c r="AO172" s="738" t="e">
        <v>#REF!</v>
      </c>
      <c r="AP172" s="738" t="e">
        <v>#REF!</v>
      </c>
      <c r="AR172" s="119">
        <f ca="1">INDIRECT("U12対戦スケジュール!ｃ"&amp;(ROW())/2-38)</f>
        <v>10</v>
      </c>
      <c r="AS172" s="119">
        <f ca="1">INDIRECT("U12対戦スケジュール!E"&amp;(ROW())/2-38)</f>
        <v>7</v>
      </c>
      <c r="AU172" s="102"/>
    </row>
    <row r="173" spans="2:47" ht="20.100000000000001" customHeight="1" x14ac:dyDescent="0.4">
      <c r="B173" s="644"/>
      <c r="C173" s="648"/>
      <c r="D173" s="649"/>
      <c r="E173" s="650"/>
      <c r="F173" s="583"/>
      <c r="G173" s="583"/>
      <c r="H173" s="583"/>
      <c r="I173" s="583"/>
      <c r="J173" s="637"/>
      <c r="K173" s="637"/>
      <c r="L173" s="637"/>
      <c r="M173" s="637"/>
      <c r="N173" s="637"/>
      <c r="O173" s="637"/>
      <c r="P173" s="637"/>
      <c r="Q173" s="635"/>
      <c r="R173" s="635"/>
      <c r="S173" s="98">
        <v>3</v>
      </c>
      <c r="T173" s="99" t="s">
        <v>7</v>
      </c>
      <c r="U173" s="98">
        <v>0</v>
      </c>
      <c r="V173" s="635"/>
      <c r="W173" s="635"/>
      <c r="X173" s="637"/>
      <c r="Y173" s="637"/>
      <c r="Z173" s="637"/>
      <c r="AA173" s="637"/>
      <c r="AB173" s="637"/>
      <c r="AC173" s="637"/>
      <c r="AD173" s="637"/>
      <c r="AE173" s="583"/>
      <c r="AF173" s="583"/>
      <c r="AG173" s="583"/>
      <c r="AH173" s="583"/>
      <c r="AI173" s="738" t="e">
        <v>#REF!</v>
      </c>
      <c r="AJ173" s="738" t="e">
        <v>#REF!</v>
      </c>
      <c r="AK173" s="738" t="e">
        <v>#REF!</v>
      </c>
      <c r="AL173" s="738" t="e">
        <v>#REF!</v>
      </c>
      <c r="AM173" s="738" t="e">
        <v>#REF!</v>
      </c>
      <c r="AN173" s="738" t="e">
        <v>#REF!</v>
      </c>
      <c r="AO173" s="738" t="e">
        <v>#REF!</v>
      </c>
      <c r="AP173" s="738" t="e">
        <v>#REF!</v>
      </c>
      <c r="AR173" s="119"/>
      <c r="AS173" s="119"/>
    </row>
    <row r="174" spans="2:47" ht="20.100000000000001" customHeight="1" x14ac:dyDescent="0.4">
      <c r="B174" s="644" t="str">
        <f ca="1">DBCS(INDIRECT("U12対戦スケジュール!A"&amp;(ROW())/2-38))</f>
        <v>⑥</v>
      </c>
      <c r="C174" s="645">
        <f ca="1">INDIRECT("U12対戦スケジュール!B"&amp;(ROW())/2-38)</f>
        <v>0.64650000000000007</v>
      </c>
      <c r="D174" s="646"/>
      <c r="E174" s="647"/>
      <c r="F174" s="583"/>
      <c r="G174" s="583"/>
      <c r="H174" s="583"/>
      <c r="I174" s="583"/>
      <c r="J174" s="636" t="str">
        <f ca="1">VLOOKUP(AR174,U12組合せ!B$10:E$19,3,TRUE)</f>
        <v>FCアネーロ・U-12</v>
      </c>
      <c r="K174" s="637"/>
      <c r="L174" s="637"/>
      <c r="M174" s="637"/>
      <c r="N174" s="637"/>
      <c r="O174" s="637"/>
      <c r="P174" s="637"/>
      <c r="Q174" s="635">
        <f>IF(OR(S174="",S175=""),"",S174+S175)</f>
        <v>1</v>
      </c>
      <c r="R174" s="635"/>
      <c r="S174" s="98">
        <v>1</v>
      </c>
      <c r="T174" s="99" t="s">
        <v>7</v>
      </c>
      <c r="U174" s="98">
        <v>1</v>
      </c>
      <c r="V174" s="635">
        <f>IF(OR(U174="",U175=""),"",U174+U175)</f>
        <v>2</v>
      </c>
      <c r="W174" s="635"/>
      <c r="X174" s="636" t="str">
        <f ca="1">VLOOKUP(AS174,U12組合せ!B$10:E$19,3,TRUE)</f>
        <v>unionscU12</v>
      </c>
      <c r="Y174" s="637"/>
      <c r="Z174" s="637"/>
      <c r="AA174" s="637"/>
      <c r="AB174" s="637"/>
      <c r="AC174" s="637"/>
      <c r="AD174" s="637"/>
      <c r="AE174" s="583"/>
      <c r="AF174" s="583"/>
      <c r="AG174" s="583"/>
      <c r="AH174" s="583"/>
      <c r="AI174" s="737" t="str">
        <f ca="1">DBCS(VLOOKUP(B174,U12対戦スケジュール!A$47:F$49,6,TRUE))</f>
        <v>７／１０／３／７</v>
      </c>
      <c r="AJ174" s="738" t="e">
        <v>#REF!</v>
      </c>
      <c r="AK174" s="738" t="e">
        <v>#REF!</v>
      </c>
      <c r="AL174" s="738" t="e">
        <v>#REF!</v>
      </c>
      <c r="AM174" s="738" t="e">
        <v>#REF!</v>
      </c>
      <c r="AN174" s="738" t="e">
        <v>#REF!</v>
      </c>
      <c r="AO174" s="738" t="e">
        <v>#REF!</v>
      </c>
      <c r="AP174" s="738" t="e">
        <v>#REF!</v>
      </c>
      <c r="AR174" s="119">
        <f ca="1">INDIRECT("U12対戦スケジュール!ｃ"&amp;(ROW())/2-38)</f>
        <v>10</v>
      </c>
      <c r="AS174" s="119">
        <f ca="1">INDIRECT("U12対戦スケジュール!E"&amp;(ROW())/2-38)</f>
        <v>3</v>
      </c>
    </row>
    <row r="175" spans="2:47" ht="20.100000000000001" customHeight="1" x14ac:dyDescent="0.4">
      <c r="B175" s="644"/>
      <c r="C175" s="648"/>
      <c r="D175" s="649"/>
      <c r="E175" s="650"/>
      <c r="F175" s="583"/>
      <c r="G175" s="583"/>
      <c r="H175" s="583"/>
      <c r="I175" s="583"/>
      <c r="J175" s="637"/>
      <c r="K175" s="637"/>
      <c r="L175" s="637"/>
      <c r="M175" s="637"/>
      <c r="N175" s="637"/>
      <c r="O175" s="637"/>
      <c r="P175" s="637"/>
      <c r="Q175" s="635"/>
      <c r="R175" s="635"/>
      <c r="S175" s="98">
        <v>0</v>
      </c>
      <c r="T175" s="99" t="s">
        <v>7</v>
      </c>
      <c r="U175" s="98">
        <v>1</v>
      </c>
      <c r="V175" s="635"/>
      <c r="W175" s="635"/>
      <c r="X175" s="637"/>
      <c r="Y175" s="637"/>
      <c r="Z175" s="637"/>
      <c r="AA175" s="637"/>
      <c r="AB175" s="637"/>
      <c r="AC175" s="637"/>
      <c r="AD175" s="637"/>
      <c r="AE175" s="583"/>
      <c r="AF175" s="583"/>
      <c r="AG175" s="583"/>
      <c r="AH175" s="583"/>
      <c r="AI175" s="738" t="e">
        <v>#REF!</v>
      </c>
      <c r="AJ175" s="738" t="e">
        <v>#REF!</v>
      </c>
      <c r="AK175" s="738" t="e">
        <v>#REF!</v>
      </c>
      <c r="AL175" s="738" t="e">
        <v>#REF!</v>
      </c>
      <c r="AM175" s="738" t="e">
        <v>#REF!</v>
      </c>
      <c r="AN175" s="738" t="e">
        <v>#REF!</v>
      </c>
      <c r="AO175" s="738" t="e">
        <v>#REF!</v>
      </c>
      <c r="AP175" s="738" t="e">
        <v>#REF!</v>
      </c>
      <c r="AR175" s="119"/>
      <c r="AS175" s="119"/>
    </row>
    <row r="176" spans="2:47" ht="20.100000000000001" customHeight="1" x14ac:dyDescent="0.4">
      <c r="B176" s="586"/>
      <c r="C176" s="739"/>
      <c r="D176" s="740"/>
      <c r="E176" s="741"/>
      <c r="F176" s="704"/>
      <c r="G176" s="704"/>
      <c r="H176" s="704"/>
      <c r="I176" s="704"/>
      <c r="J176" s="701"/>
      <c r="K176" s="702"/>
      <c r="L176" s="702"/>
      <c r="M176" s="702"/>
      <c r="N176" s="702"/>
      <c r="O176" s="702"/>
      <c r="P176" s="702"/>
      <c r="Q176" s="705"/>
      <c r="R176" s="705"/>
      <c r="S176" s="109"/>
      <c r="T176" s="110"/>
      <c r="U176" s="109"/>
      <c r="V176" s="705"/>
      <c r="W176" s="705"/>
      <c r="X176" s="701"/>
      <c r="Y176" s="702"/>
      <c r="Z176" s="702"/>
      <c r="AA176" s="702"/>
      <c r="AB176" s="702"/>
      <c r="AC176" s="702"/>
      <c r="AD176" s="702"/>
      <c r="AE176" s="704"/>
      <c r="AF176" s="704"/>
      <c r="AG176" s="704"/>
      <c r="AH176" s="704"/>
      <c r="AI176" s="706"/>
      <c r="AJ176" s="707"/>
      <c r="AK176" s="707"/>
      <c r="AL176" s="707"/>
      <c r="AM176" s="707"/>
      <c r="AN176" s="707"/>
      <c r="AO176" s="707"/>
      <c r="AP176" s="707"/>
      <c r="AR176" s="119"/>
      <c r="AS176" s="119"/>
    </row>
    <row r="177" spans="1:45" ht="20.100000000000001" customHeight="1" x14ac:dyDescent="0.4">
      <c r="B177" s="644"/>
      <c r="C177" s="648"/>
      <c r="D177" s="649"/>
      <c r="E177" s="650"/>
      <c r="F177" s="583"/>
      <c r="G177" s="583"/>
      <c r="H177" s="583"/>
      <c r="I177" s="583"/>
      <c r="J177" s="703"/>
      <c r="K177" s="703"/>
      <c r="L177" s="703"/>
      <c r="M177" s="703"/>
      <c r="N177" s="703"/>
      <c r="O177" s="703"/>
      <c r="P177" s="703"/>
      <c r="Q177" s="634"/>
      <c r="R177" s="634"/>
      <c r="S177" s="100"/>
      <c r="T177" s="101"/>
      <c r="U177" s="100"/>
      <c r="V177" s="634"/>
      <c r="W177" s="634"/>
      <c r="X177" s="703"/>
      <c r="Y177" s="703"/>
      <c r="Z177" s="703"/>
      <c r="AA177" s="703"/>
      <c r="AB177" s="703"/>
      <c r="AC177" s="703"/>
      <c r="AD177" s="703"/>
      <c r="AE177" s="583"/>
      <c r="AF177" s="583"/>
      <c r="AG177" s="583"/>
      <c r="AH177" s="583"/>
      <c r="AI177" s="708"/>
      <c r="AJ177" s="708"/>
      <c r="AK177" s="708"/>
      <c r="AL177" s="708"/>
      <c r="AM177" s="708"/>
      <c r="AN177" s="708"/>
      <c r="AO177" s="708"/>
      <c r="AP177" s="708"/>
      <c r="AR177" s="119"/>
      <c r="AS177" s="119"/>
    </row>
    <row r="178" spans="1:45" ht="20.100000000000001" customHeight="1" x14ac:dyDescent="0.4">
      <c r="B178" s="585"/>
      <c r="C178" s="587"/>
      <c r="D178" s="588"/>
      <c r="E178" s="589"/>
      <c r="F178" s="622"/>
      <c r="G178" s="623"/>
      <c r="H178" s="623"/>
      <c r="I178" s="624"/>
      <c r="J178" s="689"/>
      <c r="K178" s="690"/>
      <c r="L178" s="690"/>
      <c r="M178" s="690"/>
      <c r="N178" s="690"/>
      <c r="O178" s="690"/>
      <c r="P178" s="691"/>
      <c r="Q178" s="628"/>
      <c r="R178" s="630"/>
      <c r="S178" s="100"/>
      <c r="T178" s="101"/>
      <c r="U178" s="100"/>
      <c r="V178" s="628"/>
      <c r="W178" s="630"/>
      <c r="X178" s="695"/>
      <c r="Y178" s="696"/>
      <c r="Z178" s="696"/>
      <c r="AA178" s="696"/>
      <c r="AB178" s="696"/>
      <c r="AC178" s="696"/>
      <c r="AD178" s="697"/>
      <c r="AE178" s="622"/>
      <c r="AF178" s="623"/>
      <c r="AG178" s="623"/>
      <c r="AH178" s="624"/>
      <c r="AI178" s="628"/>
      <c r="AJ178" s="629"/>
      <c r="AK178" s="629"/>
      <c r="AL178" s="629"/>
      <c r="AM178" s="629"/>
      <c r="AN178" s="629"/>
      <c r="AO178" s="629"/>
      <c r="AP178" s="630"/>
    </row>
    <row r="179" spans="1:45" ht="20.100000000000001" customHeight="1" x14ac:dyDescent="0.4">
      <c r="B179" s="586"/>
      <c r="C179" s="590"/>
      <c r="D179" s="591"/>
      <c r="E179" s="592"/>
      <c r="F179" s="625"/>
      <c r="G179" s="626"/>
      <c r="H179" s="626"/>
      <c r="I179" s="627"/>
      <c r="J179" s="692"/>
      <c r="K179" s="693"/>
      <c r="L179" s="693"/>
      <c r="M179" s="693"/>
      <c r="N179" s="693"/>
      <c r="O179" s="693"/>
      <c r="P179" s="694"/>
      <c r="Q179" s="631"/>
      <c r="R179" s="633"/>
      <c r="S179" s="100"/>
      <c r="T179" s="101"/>
      <c r="U179" s="100"/>
      <c r="V179" s="631"/>
      <c r="W179" s="633"/>
      <c r="X179" s="698"/>
      <c r="Y179" s="699"/>
      <c r="Z179" s="699"/>
      <c r="AA179" s="699"/>
      <c r="AB179" s="699"/>
      <c r="AC179" s="699"/>
      <c r="AD179" s="700"/>
      <c r="AE179" s="625"/>
      <c r="AF179" s="626"/>
      <c r="AG179" s="626"/>
      <c r="AH179" s="627"/>
      <c r="AI179" s="631"/>
      <c r="AJ179" s="632"/>
      <c r="AK179" s="632"/>
      <c r="AL179" s="632"/>
      <c r="AM179" s="632"/>
      <c r="AN179" s="632"/>
      <c r="AO179" s="632"/>
      <c r="AP179" s="633"/>
    </row>
    <row r="180" spans="1:45" ht="20.100000000000001" customHeight="1" x14ac:dyDescent="0.4">
      <c r="B180" s="585"/>
      <c r="C180" s="587"/>
      <c r="D180" s="588"/>
      <c r="E180" s="589"/>
      <c r="F180" s="622"/>
      <c r="G180" s="623"/>
      <c r="H180" s="623"/>
      <c r="I180" s="624"/>
      <c r="J180" s="689"/>
      <c r="K180" s="690"/>
      <c r="L180" s="690"/>
      <c r="M180" s="690"/>
      <c r="N180" s="690"/>
      <c r="O180" s="690"/>
      <c r="P180" s="691"/>
      <c r="Q180" s="628"/>
      <c r="R180" s="630"/>
      <c r="S180" s="100"/>
      <c r="T180" s="101"/>
      <c r="U180" s="100"/>
      <c r="V180" s="628"/>
      <c r="W180" s="630"/>
      <c r="X180" s="695"/>
      <c r="Y180" s="696"/>
      <c r="Z180" s="696"/>
      <c r="AA180" s="696"/>
      <c r="AB180" s="696"/>
      <c r="AC180" s="696"/>
      <c r="AD180" s="697"/>
      <c r="AE180" s="622"/>
      <c r="AF180" s="623"/>
      <c r="AG180" s="623"/>
      <c r="AH180" s="624"/>
      <c r="AI180" s="628"/>
      <c r="AJ180" s="629"/>
      <c r="AK180" s="629"/>
      <c r="AL180" s="629"/>
      <c r="AM180" s="629"/>
      <c r="AN180" s="629"/>
      <c r="AO180" s="629"/>
      <c r="AP180" s="630"/>
    </row>
    <row r="181" spans="1:45" ht="20.100000000000001" customHeight="1" x14ac:dyDescent="0.4">
      <c r="B181" s="586"/>
      <c r="C181" s="590"/>
      <c r="D181" s="591"/>
      <c r="E181" s="592"/>
      <c r="F181" s="625"/>
      <c r="G181" s="626"/>
      <c r="H181" s="626"/>
      <c r="I181" s="627"/>
      <c r="J181" s="692"/>
      <c r="K181" s="693"/>
      <c r="L181" s="693"/>
      <c r="M181" s="693"/>
      <c r="N181" s="693"/>
      <c r="O181" s="693"/>
      <c r="P181" s="694"/>
      <c r="Q181" s="631"/>
      <c r="R181" s="633"/>
      <c r="S181" s="100"/>
      <c r="T181" s="101"/>
      <c r="U181" s="100"/>
      <c r="V181" s="631"/>
      <c r="W181" s="633"/>
      <c r="X181" s="698"/>
      <c r="Y181" s="699"/>
      <c r="Z181" s="699"/>
      <c r="AA181" s="699"/>
      <c r="AB181" s="699"/>
      <c r="AC181" s="699"/>
      <c r="AD181" s="700"/>
      <c r="AE181" s="625"/>
      <c r="AF181" s="626"/>
      <c r="AG181" s="626"/>
      <c r="AH181" s="627"/>
      <c r="AI181" s="631"/>
      <c r="AJ181" s="632"/>
      <c r="AK181" s="632"/>
      <c r="AL181" s="632"/>
      <c r="AM181" s="632"/>
      <c r="AN181" s="632"/>
      <c r="AO181" s="632"/>
      <c r="AP181" s="633"/>
    </row>
    <row r="182" spans="1:45" ht="20.100000000000001" customHeight="1" x14ac:dyDescent="0.4">
      <c r="B182" s="585"/>
      <c r="C182" s="587"/>
      <c r="D182" s="588"/>
      <c r="E182" s="589"/>
      <c r="F182" s="622"/>
      <c r="G182" s="623"/>
      <c r="H182" s="623"/>
      <c r="I182" s="624"/>
      <c r="J182" s="689"/>
      <c r="K182" s="690"/>
      <c r="L182" s="690"/>
      <c r="M182" s="690"/>
      <c r="N182" s="690"/>
      <c r="O182" s="690"/>
      <c r="P182" s="691"/>
      <c r="Q182" s="628"/>
      <c r="R182" s="630"/>
      <c r="S182" s="100"/>
      <c r="T182" s="101"/>
      <c r="U182" s="100"/>
      <c r="V182" s="628"/>
      <c r="W182" s="630"/>
      <c r="X182" s="695"/>
      <c r="Y182" s="696"/>
      <c r="Z182" s="696"/>
      <c r="AA182" s="696"/>
      <c r="AB182" s="696"/>
      <c r="AC182" s="696"/>
      <c r="AD182" s="697"/>
      <c r="AE182" s="622"/>
      <c r="AF182" s="623"/>
      <c r="AG182" s="623"/>
      <c r="AH182" s="624"/>
      <c r="AI182" s="628"/>
      <c r="AJ182" s="629"/>
      <c r="AK182" s="629"/>
      <c r="AL182" s="629"/>
      <c r="AM182" s="629"/>
      <c r="AN182" s="629"/>
      <c r="AO182" s="629"/>
      <c r="AP182" s="630"/>
    </row>
    <row r="183" spans="1:45" ht="20.100000000000001" customHeight="1" x14ac:dyDescent="0.4">
      <c r="B183" s="586"/>
      <c r="C183" s="590"/>
      <c r="D183" s="591"/>
      <c r="E183" s="592"/>
      <c r="F183" s="625"/>
      <c r="G183" s="626"/>
      <c r="H183" s="626"/>
      <c r="I183" s="627"/>
      <c r="J183" s="692"/>
      <c r="K183" s="693"/>
      <c r="L183" s="693"/>
      <c r="M183" s="693"/>
      <c r="N183" s="693"/>
      <c r="O183" s="693"/>
      <c r="P183" s="694"/>
      <c r="Q183" s="631"/>
      <c r="R183" s="633"/>
      <c r="S183" s="100"/>
      <c r="T183" s="101"/>
      <c r="U183" s="100"/>
      <c r="V183" s="631"/>
      <c r="W183" s="633"/>
      <c r="X183" s="698"/>
      <c r="Y183" s="699"/>
      <c r="Z183" s="699"/>
      <c r="AA183" s="699"/>
      <c r="AB183" s="699"/>
      <c r="AC183" s="699"/>
      <c r="AD183" s="700"/>
      <c r="AE183" s="625"/>
      <c r="AF183" s="626"/>
      <c r="AG183" s="626"/>
      <c r="AH183" s="627"/>
      <c r="AI183" s="631"/>
      <c r="AJ183" s="632"/>
      <c r="AK183" s="632"/>
      <c r="AL183" s="632"/>
      <c r="AM183" s="632"/>
      <c r="AN183" s="632"/>
      <c r="AO183" s="632"/>
      <c r="AP183" s="633"/>
    </row>
    <row r="184" spans="1:45" ht="15.75" customHeight="1" thickBot="1" x14ac:dyDescent="0.45">
      <c r="A184" s="102"/>
      <c r="B184" s="103"/>
      <c r="C184" s="104"/>
      <c r="D184" s="104"/>
      <c r="E184" s="104"/>
      <c r="F184" s="103"/>
      <c r="G184" s="103"/>
      <c r="H184" s="103"/>
      <c r="I184" s="103"/>
      <c r="J184" s="103"/>
      <c r="K184" s="105"/>
      <c r="L184" s="105"/>
      <c r="M184" s="106"/>
      <c r="N184" s="107"/>
      <c r="O184" s="106"/>
      <c r="P184" s="105"/>
      <c r="Q184" s="105"/>
      <c r="R184" s="103"/>
      <c r="S184" s="103"/>
      <c r="T184" s="103"/>
      <c r="U184" s="103"/>
      <c r="V184" s="103"/>
      <c r="W184" s="108"/>
      <c r="X184" s="108"/>
      <c r="Y184" s="108"/>
      <c r="Z184" s="108"/>
      <c r="AA184" s="108"/>
      <c r="AB184" s="108"/>
      <c r="AC184" s="102"/>
    </row>
    <row r="185" spans="1:45" ht="20.25" customHeight="1" thickBot="1" x14ac:dyDescent="0.45">
      <c r="D185" s="664" t="s">
        <v>8</v>
      </c>
      <c r="E185" s="665"/>
      <c r="F185" s="665"/>
      <c r="G185" s="665"/>
      <c r="H185" s="665"/>
      <c r="I185" s="666"/>
      <c r="J185" s="667" t="s">
        <v>5</v>
      </c>
      <c r="K185" s="665"/>
      <c r="L185" s="665"/>
      <c r="M185" s="665"/>
      <c r="N185" s="665"/>
      <c r="O185" s="665"/>
      <c r="P185" s="665"/>
      <c r="Q185" s="666"/>
      <c r="R185" s="668" t="s">
        <v>9</v>
      </c>
      <c r="S185" s="669"/>
      <c r="T185" s="669"/>
      <c r="U185" s="669"/>
      <c r="V185" s="669"/>
      <c r="W185" s="669"/>
      <c r="X185" s="669"/>
      <c r="Y185" s="669"/>
      <c r="Z185" s="670"/>
      <c r="AA185" s="609" t="s">
        <v>10</v>
      </c>
      <c r="AB185" s="610"/>
      <c r="AC185" s="671"/>
      <c r="AD185" s="609" t="s">
        <v>11</v>
      </c>
      <c r="AE185" s="610"/>
      <c r="AF185" s="610"/>
      <c r="AG185" s="610"/>
      <c r="AH185" s="610"/>
      <c r="AI185" s="610"/>
      <c r="AJ185" s="610"/>
      <c r="AK185" s="610"/>
      <c r="AL185" s="610"/>
      <c r="AM185" s="611"/>
    </row>
    <row r="186" spans="1:45" ht="30" customHeight="1" x14ac:dyDescent="0.4">
      <c r="D186" s="651" t="s">
        <v>298</v>
      </c>
      <c r="E186" s="652"/>
      <c r="F186" s="652"/>
      <c r="G186" s="652"/>
      <c r="H186" s="652"/>
      <c r="I186" s="653"/>
      <c r="J186" s="654"/>
      <c r="K186" s="652"/>
      <c r="L186" s="652"/>
      <c r="M186" s="652"/>
      <c r="N186" s="652"/>
      <c r="O186" s="652"/>
      <c r="P186" s="652"/>
      <c r="Q186" s="653"/>
      <c r="R186" s="655"/>
      <c r="S186" s="656"/>
      <c r="T186" s="656"/>
      <c r="U186" s="656"/>
      <c r="V186" s="656"/>
      <c r="W186" s="656"/>
      <c r="X186" s="656"/>
      <c r="Y186" s="656"/>
      <c r="Z186" s="657"/>
      <c r="AA186" s="658"/>
      <c r="AB186" s="659"/>
      <c r="AC186" s="660"/>
      <c r="AD186" s="661"/>
      <c r="AE186" s="662"/>
      <c r="AF186" s="662"/>
      <c r="AG186" s="662"/>
      <c r="AH186" s="662"/>
      <c r="AI186" s="662"/>
      <c r="AJ186" s="662"/>
      <c r="AK186" s="662"/>
      <c r="AL186" s="662"/>
      <c r="AM186" s="663"/>
    </row>
    <row r="187" spans="1:45" ht="30" customHeight="1" x14ac:dyDescent="0.4">
      <c r="D187" s="688" t="s">
        <v>12</v>
      </c>
      <c r="E187" s="604"/>
      <c r="F187" s="604"/>
      <c r="G187" s="604"/>
      <c r="H187" s="604"/>
      <c r="I187" s="605"/>
      <c r="J187" s="603"/>
      <c r="K187" s="604"/>
      <c r="L187" s="604"/>
      <c r="M187" s="604"/>
      <c r="N187" s="604"/>
      <c r="O187" s="604"/>
      <c r="P187" s="604"/>
      <c r="Q187" s="605"/>
      <c r="R187" s="606"/>
      <c r="S187" s="607"/>
      <c r="T187" s="607"/>
      <c r="U187" s="607"/>
      <c r="V187" s="607"/>
      <c r="W187" s="607"/>
      <c r="X187" s="607"/>
      <c r="Y187" s="607"/>
      <c r="Z187" s="608"/>
      <c r="AA187" s="606"/>
      <c r="AB187" s="607"/>
      <c r="AC187" s="608"/>
      <c r="AD187" s="672"/>
      <c r="AE187" s="673"/>
      <c r="AF187" s="673"/>
      <c r="AG187" s="673"/>
      <c r="AH187" s="673"/>
      <c r="AI187" s="673"/>
      <c r="AJ187" s="673"/>
      <c r="AK187" s="673"/>
      <c r="AL187" s="673"/>
      <c r="AM187" s="674"/>
    </row>
    <row r="188" spans="1:45" ht="29.25" customHeight="1" thickBot="1" x14ac:dyDescent="0.45">
      <c r="D188" s="675" t="s">
        <v>12</v>
      </c>
      <c r="E188" s="676"/>
      <c r="F188" s="676"/>
      <c r="G188" s="676"/>
      <c r="H188" s="676"/>
      <c r="I188" s="677"/>
      <c r="J188" s="678"/>
      <c r="K188" s="676"/>
      <c r="L188" s="676"/>
      <c r="M188" s="676"/>
      <c r="N188" s="676"/>
      <c r="O188" s="676"/>
      <c r="P188" s="676"/>
      <c r="Q188" s="677"/>
      <c r="R188" s="679"/>
      <c r="S188" s="680"/>
      <c r="T188" s="680"/>
      <c r="U188" s="680"/>
      <c r="V188" s="680"/>
      <c r="W188" s="680"/>
      <c r="X188" s="680"/>
      <c r="Y188" s="680"/>
      <c r="Z188" s="681"/>
      <c r="AA188" s="682"/>
      <c r="AB188" s="683"/>
      <c r="AC188" s="684"/>
      <c r="AD188" s="685"/>
      <c r="AE188" s="686"/>
      <c r="AF188" s="686"/>
      <c r="AG188" s="686"/>
      <c r="AH188" s="686"/>
      <c r="AI188" s="686"/>
      <c r="AJ188" s="686"/>
      <c r="AK188" s="686"/>
      <c r="AL188" s="686"/>
      <c r="AM188" s="687"/>
    </row>
    <row r="189" spans="1:45" ht="14.25" customHeight="1" x14ac:dyDescent="0.4">
      <c r="A189" s="115"/>
      <c r="B189" s="599" t="str">
        <f>U12組合せ!$B$1</f>
        <v>ＪＦＡ　Ｕ-１２サッカーリーグ2021（in栃木） 宇都宮地区リーグ戦（前期）</v>
      </c>
      <c r="C189" s="599"/>
      <c r="D189" s="599"/>
      <c r="E189" s="599"/>
      <c r="F189" s="599"/>
      <c r="G189" s="599"/>
      <c r="H189" s="599"/>
      <c r="I189" s="599"/>
      <c r="J189" s="599"/>
      <c r="K189" s="599"/>
      <c r="L189" s="599"/>
      <c r="M189" s="599"/>
      <c r="N189" s="599"/>
      <c r="O189" s="599"/>
      <c r="P189" s="599"/>
      <c r="Q189" s="599"/>
      <c r="R189" s="599"/>
      <c r="S189" s="599"/>
      <c r="T189" s="599"/>
      <c r="U189" s="599"/>
      <c r="V189" s="599"/>
      <c r="W189" s="599"/>
      <c r="X189" s="599"/>
      <c r="Y189" s="599"/>
      <c r="Z189" s="599"/>
      <c r="AA189" s="599"/>
      <c r="AB189" s="599"/>
      <c r="AC189" s="600" t="str">
        <f>"【"&amp;(U12組合せ!$D$3)&amp;"】"</f>
        <v>【Ａ ブロック】</v>
      </c>
      <c r="AD189" s="600"/>
      <c r="AE189" s="600"/>
      <c r="AF189" s="600"/>
      <c r="AG189" s="600"/>
      <c r="AH189" s="600"/>
      <c r="AI189" s="600"/>
      <c r="AJ189" s="600"/>
      <c r="AK189" s="602" t="str">
        <f>"第"&amp;(U12組合せ!$D$33)</f>
        <v>第３節</v>
      </c>
      <c r="AL189" s="602"/>
      <c r="AM189" s="602"/>
      <c r="AN189" s="602"/>
      <c r="AO189" s="602"/>
      <c r="AP189" s="597" t="s">
        <v>299</v>
      </c>
      <c r="AQ189" s="598"/>
    </row>
    <row r="190" spans="1:45" ht="14.25" customHeight="1" x14ac:dyDescent="0.4">
      <c r="A190" s="115"/>
      <c r="B190" s="599"/>
      <c r="C190" s="599"/>
      <c r="D190" s="599"/>
      <c r="E190" s="599"/>
      <c r="F190" s="599"/>
      <c r="G190" s="599"/>
      <c r="H190" s="599"/>
      <c r="I190" s="599"/>
      <c r="J190" s="599"/>
      <c r="K190" s="599"/>
      <c r="L190" s="599"/>
      <c r="M190" s="599"/>
      <c r="N190" s="599"/>
      <c r="O190" s="599"/>
      <c r="P190" s="599"/>
      <c r="Q190" s="599"/>
      <c r="R190" s="599"/>
      <c r="S190" s="599"/>
      <c r="T190" s="599"/>
      <c r="U190" s="599"/>
      <c r="V190" s="599"/>
      <c r="W190" s="599"/>
      <c r="X190" s="599"/>
      <c r="Y190" s="599"/>
      <c r="Z190" s="599"/>
      <c r="AA190" s="599"/>
      <c r="AB190" s="599"/>
      <c r="AC190" s="601"/>
      <c r="AD190" s="601"/>
      <c r="AE190" s="601"/>
      <c r="AF190" s="601"/>
      <c r="AG190" s="601"/>
      <c r="AH190" s="601"/>
      <c r="AI190" s="601"/>
      <c r="AJ190" s="601"/>
      <c r="AK190" s="601"/>
      <c r="AL190" s="601"/>
      <c r="AM190" s="601"/>
      <c r="AN190" s="601"/>
      <c r="AO190" s="601"/>
      <c r="AP190" s="598"/>
      <c r="AQ190" s="598"/>
    </row>
    <row r="191" spans="1:45" ht="27.75" customHeight="1" x14ac:dyDescent="0.4">
      <c r="C191" s="734" t="s">
        <v>1</v>
      </c>
      <c r="D191" s="735"/>
      <c r="E191" s="735"/>
      <c r="F191" s="736"/>
      <c r="G191" s="725" t="str">
        <f>U12対戦スケジュール!C54</f>
        <v>GP白沢 北 PM</v>
      </c>
      <c r="H191" s="726"/>
      <c r="I191" s="726"/>
      <c r="J191" s="726"/>
      <c r="K191" s="726"/>
      <c r="L191" s="726"/>
      <c r="M191" s="726"/>
      <c r="N191" s="726"/>
      <c r="O191" s="727"/>
      <c r="P191" s="734" t="s">
        <v>0</v>
      </c>
      <c r="Q191" s="735"/>
      <c r="R191" s="735"/>
      <c r="S191" s="736"/>
      <c r="T191" s="725" t="str">
        <f ca="1">X201</f>
        <v>unionscU12</v>
      </c>
      <c r="U191" s="726"/>
      <c r="V191" s="726"/>
      <c r="W191" s="726"/>
      <c r="X191" s="726"/>
      <c r="Y191" s="726"/>
      <c r="Z191" s="726"/>
      <c r="AA191" s="726"/>
      <c r="AB191" s="727"/>
      <c r="AC191" s="734" t="s">
        <v>2</v>
      </c>
      <c r="AD191" s="735"/>
      <c r="AE191" s="735"/>
      <c r="AF191" s="736"/>
      <c r="AG191" s="618">
        <f>U12組合せ!B33</f>
        <v>44325</v>
      </c>
      <c r="AH191" s="619"/>
      <c r="AI191" s="619"/>
      <c r="AJ191" s="619"/>
      <c r="AK191" s="619"/>
      <c r="AL191" s="619"/>
      <c r="AM191" s="620" t="str">
        <f>"（"&amp;TEXT(AG191,"aaa")&amp;"）"</f>
        <v>（日）</v>
      </c>
      <c r="AN191" s="620"/>
      <c r="AO191" s="621"/>
    </row>
    <row r="192" spans="1:45" ht="15" customHeight="1" x14ac:dyDescent="0.4">
      <c r="C192" s="96" t="str">
        <f>U12組合せ!E34</f>
        <v>A2359</v>
      </c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95"/>
      <c r="X192" s="95"/>
      <c r="Y192" s="95"/>
      <c r="Z192" s="95"/>
      <c r="AA192" s="95"/>
      <c r="AB192" s="95"/>
      <c r="AC192" s="95"/>
    </row>
    <row r="193" spans="2:45" ht="29.25" customHeight="1" x14ac:dyDescent="0.4">
      <c r="C193" s="710" t="s">
        <v>484</v>
      </c>
      <c r="D193" s="710"/>
      <c r="E193" s="638" t="s">
        <v>473</v>
      </c>
      <c r="F193" s="638"/>
      <c r="G193" s="638"/>
      <c r="H193" s="638"/>
      <c r="I193" s="638"/>
      <c r="J193" s="638"/>
      <c r="K193" s="638"/>
      <c r="L193" s="638"/>
      <c r="M193" s="638"/>
      <c r="N193" s="638"/>
      <c r="O193" s="94"/>
      <c r="P193" s="94"/>
      <c r="Q193" s="636" t="s">
        <v>492</v>
      </c>
      <c r="R193" s="636"/>
      <c r="S193" s="709" t="s">
        <v>477</v>
      </c>
      <c r="T193" s="709"/>
      <c r="U193" s="709"/>
      <c r="V193" s="709"/>
      <c r="W193" s="709"/>
      <c r="X193" s="709"/>
      <c r="Y193" s="709"/>
      <c r="Z193" s="709"/>
      <c r="AA193" s="709"/>
      <c r="AB193" s="709"/>
      <c r="AC193" s="92"/>
      <c r="AD193" s="93"/>
      <c r="AE193" s="637" t="s">
        <v>498</v>
      </c>
      <c r="AF193" s="637"/>
      <c r="AG193" s="584" t="s">
        <v>480</v>
      </c>
      <c r="AH193" s="584"/>
      <c r="AI193" s="584"/>
      <c r="AJ193" s="584"/>
      <c r="AK193" s="584"/>
      <c r="AL193" s="584"/>
      <c r="AM193" s="584"/>
      <c r="AN193" s="584"/>
      <c r="AO193" s="584"/>
      <c r="AP193" s="584"/>
    </row>
    <row r="194" spans="2:45" ht="29.25" customHeight="1" x14ac:dyDescent="0.4">
      <c r="C194" s="636" t="s">
        <v>486</v>
      </c>
      <c r="D194" s="636"/>
      <c r="E194" s="709" t="s">
        <v>474</v>
      </c>
      <c r="F194" s="709"/>
      <c r="G194" s="709"/>
      <c r="H194" s="709"/>
      <c r="I194" s="709"/>
      <c r="J194" s="709"/>
      <c r="K194" s="709"/>
      <c r="L194" s="709"/>
      <c r="M194" s="709"/>
      <c r="N194" s="709"/>
      <c r="O194" s="94"/>
      <c r="P194" s="94"/>
      <c r="Q194" s="710" t="s">
        <v>494</v>
      </c>
      <c r="R194" s="710"/>
      <c r="S194" s="638" t="s">
        <v>478</v>
      </c>
      <c r="T194" s="638"/>
      <c r="U194" s="638"/>
      <c r="V194" s="638"/>
      <c r="W194" s="638"/>
      <c r="X194" s="638"/>
      <c r="Y194" s="638"/>
      <c r="Z194" s="638"/>
      <c r="AA194" s="638"/>
      <c r="AB194" s="638"/>
      <c r="AC194" s="92"/>
      <c r="AD194" s="93"/>
      <c r="AE194" s="636" t="s">
        <v>500</v>
      </c>
      <c r="AF194" s="636"/>
      <c r="AG194" s="709" t="s">
        <v>481</v>
      </c>
      <c r="AH194" s="709"/>
      <c r="AI194" s="709"/>
      <c r="AJ194" s="709"/>
      <c r="AK194" s="709"/>
      <c r="AL194" s="709"/>
      <c r="AM194" s="709"/>
      <c r="AN194" s="709"/>
      <c r="AO194" s="709"/>
      <c r="AP194" s="709"/>
      <c r="AS194" s="96">
        <v>100</v>
      </c>
    </row>
    <row r="195" spans="2:45" ht="29.25" customHeight="1" x14ac:dyDescent="0.4">
      <c r="C195" s="636" t="s">
        <v>488</v>
      </c>
      <c r="D195" s="636"/>
      <c r="E195" s="709" t="s">
        <v>475</v>
      </c>
      <c r="F195" s="709"/>
      <c r="G195" s="709"/>
      <c r="H195" s="709"/>
      <c r="I195" s="709"/>
      <c r="J195" s="709"/>
      <c r="K195" s="709"/>
      <c r="L195" s="709"/>
      <c r="M195" s="709"/>
      <c r="N195" s="709"/>
      <c r="O195" s="94"/>
      <c r="P195" s="94"/>
      <c r="Q195" s="637" t="s">
        <v>496</v>
      </c>
      <c r="R195" s="637"/>
      <c r="S195" s="584" t="s">
        <v>479</v>
      </c>
      <c r="T195" s="584"/>
      <c r="U195" s="584"/>
      <c r="V195" s="584"/>
      <c r="W195" s="584"/>
      <c r="X195" s="584"/>
      <c r="Y195" s="584"/>
      <c r="Z195" s="584"/>
      <c r="AA195" s="584"/>
      <c r="AB195" s="584"/>
      <c r="AC195" s="92"/>
      <c r="AD195" s="93"/>
      <c r="AE195" s="710" t="s">
        <v>502</v>
      </c>
      <c r="AF195" s="710"/>
      <c r="AG195" s="638" t="s">
        <v>482</v>
      </c>
      <c r="AH195" s="638"/>
      <c r="AI195" s="638"/>
      <c r="AJ195" s="638"/>
      <c r="AK195" s="638"/>
      <c r="AL195" s="638"/>
      <c r="AM195" s="638"/>
      <c r="AN195" s="638"/>
      <c r="AO195" s="638"/>
      <c r="AP195" s="638"/>
      <c r="AS195" s="96">
        <v>56</v>
      </c>
    </row>
    <row r="196" spans="2:45" ht="29.25" customHeight="1" x14ac:dyDescent="0.4">
      <c r="B196" s="102"/>
      <c r="C196" s="637" t="s">
        <v>490</v>
      </c>
      <c r="D196" s="637"/>
      <c r="E196" s="584" t="s">
        <v>476</v>
      </c>
      <c r="F196" s="584"/>
      <c r="G196" s="584"/>
      <c r="H196" s="584"/>
      <c r="I196" s="584"/>
      <c r="J196" s="584"/>
      <c r="K196" s="584"/>
      <c r="L196" s="584"/>
      <c r="M196" s="584"/>
      <c r="N196" s="584"/>
      <c r="O196" s="94"/>
      <c r="P196" s="94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2"/>
      <c r="AD196" s="94"/>
      <c r="AE196" s="94"/>
      <c r="AF196" s="94"/>
      <c r="AG196" s="94"/>
      <c r="AH196" s="93"/>
      <c r="AI196" s="93"/>
      <c r="AJ196" s="93"/>
      <c r="AK196" s="93"/>
      <c r="AL196" s="93"/>
      <c r="AM196" s="93"/>
      <c r="AN196" s="93"/>
      <c r="AO196" s="93"/>
      <c r="AP196" s="93"/>
      <c r="AS196" s="96">
        <f>AS194-AS195</f>
        <v>44</v>
      </c>
    </row>
    <row r="197" spans="2:45" ht="8.25" customHeight="1" x14ac:dyDescent="0.4">
      <c r="O197" s="102"/>
      <c r="P197" s="102"/>
      <c r="AC197" s="95"/>
    </row>
    <row r="198" spans="2:45" ht="8.25" customHeight="1" x14ac:dyDescent="0.4">
      <c r="C198" s="117"/>
      <c r="D198" s="118"/>
      <c r="E198" s="118"/>
      <c r="F198" s="118"/>
      <c r="G198" s="118"/>
      <c r="H198" s="118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18"/>
      <c r="U198" s="102"/>
      <c r="V198" s="118"/>
      <c r="W198" s="102"/>
      <c r="X198" s="118"/>
      <c r="Y198" s="102"/>
      <c r="Z198" s="118"/>
      <c r="AA198" s="102"/>
      <c r="AB198" s="118"/>
      <c r="AC198" s="118"/>
    </row>
    <row r="199" spans="2:45" ht="21" customHeight="1" x14ac:dyDescent="0.4">
      <c r="B199" s="118" t="str">
        <f ca="1">IF(B201="①","【監督会議 8：20～】","【監督会議 12：50～】")</f>
        <v>【監督会議 12：50～】</v>
      </c>
      <c r="I199" s="96" t="s">
        <v>330</v>
      </c>
    </row>
    <row r="200" spans="2:45" ht="20.25" customHeight="1" x14ac:dyDescent="0.4">
      <c r="B200" s="97"/>
      <c r="C200" s="711" t="s">
        <v>3</v>
      </c>
      <c r="D200" s="711"/>
      <c r="E200" s="711"/>
      <c r="F200" s="712" t="s">
        <v>4</v>
      </c>
      <c r="G200" s="712"/>
      <c r="H200" s="712"/>
      <c r="I200" s="712"/>
      <c r="J200" s="711" t="s">
        <v>5</v>
      </c>
      <c r="K200" s="713"/>
      <c r="L200" s="713"/>
      <c r="M200" s="713"/>
      <c r="N200" s="713"/>
      <c r="O200" s="713"/>
      <c r="P200" s="713"/>
      <c r="Q200" s="711" t="s">
        <v>32</v>
      </c>
      <c r="R200" s="711"/>
      <c r="S200" s="711"/>
      <c r="T200" s="711"/>
      <c r="U200" s="711"/>
      <c r="V200" s="711"/>
      <c r="W200" s="711"/>
      <c r="X200" s="711" t="s">
        <v>5</v>
      </c>
      <c r="Y200" s="713"/>
      <c r="Z200" s="713"/>
      <c r="AA200" s="713"/>
      <c r="AB200" s="713"/>
      <c r="AC200" s="713"/>
      <c r="AD200" s="713"/>
      <c r="AE200" s="712" t="s">
        <v>4</v>
      </c>
      <c r="AF200" s="712"/>
      <c r="AG200" s="712"/>
      <c r="AH200" s="712"/>
      <c r="AI200" s="711" t="s">
        <v>6</v>
      </c>
      <c r="AJ200" s="711"/>
      <c r="AK200" s="713"/>
      <c r="AL200" s="713"/>
      <c r="AM200" s="713"/>
      <c r="AN200" s="713"/>
      <c r="AO200" s="713"/>
      <c r="AP200" s="713"/>
    </row>
    <row r="201" spans="2:45" ht="20.100000000000001" customHeight="1" x14ac:dyDescent="0.4">
      <c r="B201" s="644" t="str">
        <f ca="1">DBCS(INDIRECT("U12対戦スケジュール!A"&amp;(ROW()-1)/2-44))</f>
        <v>④</v>
      </c>
      <c r="C201" s="645">
        <f ca="1">INDIRECT("U12対戦スケジュール!B"&amp;(ROW()-1)/2-44)</f>
        <v>0.5625</v>
      </c>
      <c r="D201" s="646"/>
      <c r="E201" s="647"/>
      <c r="F201" s="583"/>
      <c r="G201" s="583"/>
      <c r="H201" s="583"/>
      <c r="I201" s="583"/>
      <c r="J201" s="636" t="str">
        <f ca="1">VLOOKUP(AR201,U12組合せ!B$10:E$19,3,TRUE)</f>
        <v>石井ＦＣ</v>
      </c>
      <c r="K201" s="637"/>
      <c r="L201" s="637"/>
      <c r="M201" s="637"/>
      <c r="N201" s="637"/>
      <c r="O201" s="637"/>
      <c r="P201" s="637"/>
      <c r="Q201" s="635">
        <f>IF(OR(S201="",S202=""),"",S201+S202)</f>
        <v>0</v>
      </c>
      <c r="R201" s="635"/>
      <c r="S201" s="98">
        <v>0</v>
      </c>
      <c r="T201" s="99" t="s">
        <v>7</v>
      </c>
      <c r="U201" s="98">
        <v>0</v>
      </c>
      <c r="V201" s="635">
        <f>IF(OR(U201="",U202=""),"",U201+U202)</f>
        <v>1</v>
      </c>
      <c r="W201" s="635"/>
      <c r="X201" s="636" t="str">
        <f ca="1">VLOOKUP(AS201,U12組合せ!B$10:E$19,3,TRUE)</f>
        <v>unionscU12</v>
      </c>
      <c r="Y201" s="637"/>
      <c r="Z201" s="637"/>
      <c r="AA201" s="637"/>
      <c r="AB201" s="637"/>
      <c r="AC201" s="637"/>
      <c r="AD201" s="637"/>
      <c r="AE201" s="583"/>
      <c r="AF201" s="583"/>
      <c r="AG201" s="583"/>
      <c r="AH201" s="583"/>
      <c r="AI201" s="634" t="str">
        <f ca="1">DBCS(VLOOKUP(B201,U12対戦スケジュール!A$56:F$59,6,TRUE))</f>
        <v>Ａ９／Ａ１／Ａ６／Ａ９</v>
      </c>
      <c r="AJ201" s="583"/>
      <c r="AK201" s="583"/>
      <c r="AL201" s="583"/>
      <c r="AM201" s="583"/>
      <c r="AN201" s="583"/>
      <c r="AO201" s="583"/>
      <c r="AP201" s="583"/>
      <c r="AR201" s="119">
        <f ca="1">INDIRECT("U12対戦スケジュール!ｃ"&amp;(ROW()-1)/2-44)</f>
        <v>2</v>
      </c>
      <c r="AS201" s="119">
        <f ca="1">INDIRECT("U12対戦スケジュール!E"&amp;(ROW()-1)/2-44)</f>
        <v>3</v>
      </c>
    </row>
    <row r="202" spans="2:45" ht="20.100000000000001" customHeight="1" x14ac:dyDescent="0.4">
      <c r="B202" s="644"/>
      <c r="C202" s="648"/>
      <c r="D202" s="649"/>
      <c r="E202" s="650"/>
      <c r="F202" s="583"/>
      <c r="G202" s="583"/>
      <c r="H202" s="583"/>
      <c r="I202" s="583"/>
      <c r="J202" s="637"/>
      <c r="K202" s="637"/>
      <c r="L202" s="637"/>
      <c r="M202" s="637"/>
      <c r="N202" s="637"/>
      <c r="O202" s="637"/>
      <c r="P202" s="637"/>
      <c r="Q202" s="635"/>
      <c r="R202" s="635"/>
      <c r="S202" s="98">
        <v>0</v>
      </c>
      <c r="T202" s="99" t="s">
        <v>7</v>
      </c>
      <c r="U202" s="98">
        <v>1</v>
      </c>
      <c r="V202" s="635"/>
      <c r="W202" s="635"/>
      <c r="X202" s="637"/>
      <c r="Y202" s="637"/>
      <c r="Z202" s="637"/>
      <c r="AA202" s="637"/>
      <c r="AB202" s="637"/>
      <c r="AC202" s="637"/>
      <c r="AD202" s="637"/>
      <c r="AE202" s="583"/>
      <c r="AF202" s="583"/>
      <c r="AG202" s="583"/>
      <c r="AH202" s="583"/>
      <c r="AI202" s="583"/>
      <c r="AJ202" s="583"/>
      <c r="AK202" s="583"/>
      <c r="AL202" s="583"/>
      <c r="AM202" s="583"/>
      <c r="AN202" s="583"/>
      <c r="AO202" s="583"/>
      <c r="AP202" s="583"/>
      <c r="AR202" s="119"/>
      <c r="AS202" s="119"/>
    </row>
    <row r="203" spans="2:45" ht="20.100000000000001" customHeight="1" x14ac:dyDescent="0.4">
      <c r="B203" s="644" t="str">
        <f ca="1">DBCS(INDIRECT("U12対戦スケジュール!A"&amp;(ROW()-1)/2-44))</f>
        <v>⑤</v>
      </c>
      <c r="C203" s="645">
        <f ca="1">INDIRECT("U12対戦スケジュール!B"&amp;(ROW()-1)/2-44)</f>
        <v>0.59750000000000003</v>
      </c>
      <c r="D203" s="646"/>
      <c r="E203" s="647"/>
      <c r="F203" s="583"/>
      <c r="G203" s="583"/>
      <c r="H203" s="583"/>
      <c r="I203" s="583"/>
      <c r="J203" s="636" t="str">
        <f ca="1">VLOOKUP(AR203,U12組合せ!B$10:E$19,3,TRUE)</f>
        <v>本郷北ＦＣ</v>
      </c>
      <c r="K203" s="637"/>
      <c r="L203" s="637"/>
      <c r="M203" s="637"/>
      <c r="N203" s="637"/>
      <c r="O203" s="637"/>
      <c r="P203" s="637"/>
      <c r="Q203" s="635">
        <f>IF(OR(S203="",S204=""),"",S203+S204)</f>
        <v>4</v>
      </c>
      <c r="R203" s="635"/>
      <c r="S203" s="98">
        <v>1</v>
      </c>
      <c r="T203" s="99" t="s">
        <v>7</v>
      </c>
      <c r="U203" s="98">
        <v>0</v>
      </c>
      <c r="V203" s="635">
        <f>IF(OR(U203="",U204=""),"",U203+U204)</f>
        <v>0</v>
      </c>
      <c r="W203" s="635"/>
      <c r="X203" s="636" t="str">
        <f ca="1">VLOOKUP(AS203,U12組合せ!B$10:E$19,3,TRUE)</f>
        <v>ブラッドレスＳＣ</v>
      </c>
      <c r="Y203" s="637"/>
      <c r="Z203" s="637"/>
      <c r="AA203" s="637"/>
      <c r="AB203" s="637"/>
      <c r="AC203" s="637"/>
      <c r="AD203" s="637"/>
      <c r="AE203" s="583"/>
      <c r="AF203" s="583"/>
      <c r="AG203" s="583"/>
      <c r="AH203" s="583"/>
      <c r="AI203" s="634" t="str">
        <f ca="1">DBCS(VLOOKUP(B203,U12対戦スケジュール!A$56:F$59,6,TRUE))</f>
        <v>Ａ２／Ａ６／Ａ１／Ａ２</v>
      </c>
      <c r="AJ203" s="583"/>
      <c r="AK203" s="583"/>
      <c r="AL203" s="583"/>
      <c r="AM203" s="583"/>
      <c r="AN203" s="583"/>
      <c r="AO203" s="583"/>
      <c r="AP203" s="583"/>
      <c r="AR203" s="119">
        <f ca="1">INDIRECT("U12対戦スケジュール!ｃ"&amp;(ROW()-1)/2-44)</f>
        <v>9</v>
      </c>
      <c r="AS203" s="119">
        <f ca="1">INDIRECT("U12対戦スケジュール!E"&amp;(ROW()-1)/2-44)</f>
        <v>5</v>
      </c>
    </row>
    <row r="204" spans="2:45" ht="20.100000000000001" customHeight="1" x14ac:dyDescent="0.4">
      <c r="B204" s="644"/>
      <c r="C204" s="648"/>
      <c r="D204" s="649"/>
      <c r="E204" s="650"/>
      <c r="F204" s="583"/>
      <c r="G204" s="583"/>
      <c r="H204" s="583"/>
      <c r="I204" s="583"/>
      <c r="J204" s="637"/>
      <c r="K204" s="637"/>
      <c r="L204" s="637"/>
      <c r="M204" s="637"/>
      <c r="N204" s="637"/>
      <c r="O204" s="637"/>
      <c r="P204" s="637"/>
      <c r="Q204" s="635"/>
      <c r="R204" s="635"/>
      <c r="S204" s="98">
        <v>3</v>
      </c>
      <c r="T204" s="99" t="s">
        <v>7</v>
      </c>
      <c r="U204" s="98">
        <v>0</v>
      </c>
      <c r="V204" s="635"/>
      <c r="W204" s="635"/>
      <c r="X204" s="637"/>
      <c r="Y204" s="637"/>
      <c r="Z204" s="637"/>
      <c r="AA204" s="637"/>
      <c r="AB204" s="637"/>
      <c r="AC204" s="637"/>
      <c r="AD204" s="637"/>
      <c r="AE204" s="583"/>
      <c r="AF204" s="583"/>
      <c r="AG204" s="583"/>
      <c r="AH204" s="583"/>
      <c r="AI204" s="583"/>
      <c r="AJ204" s="583"/>
      <c r="AK204" s="583"/>
      <c r="AL204" s="583"/>
      <c r="AM204" s="583"/>
      <c r="AN204" s="583"/>
      <c r="AO204" s="583"/>
      <c r="AP204" s="583"/>
      <c r="AR204" s="119"/>
      <c r="AS204" s="119"/>
    </row>
    <row r="205" spans="2:45" ht="20.100000000000001" customHeight="1" x14ac:dyDescent="0.4">
      <c r="B205" s="644" t="str">
        <f ca="1">DBCS(INDIRECT("U12対戦スケジュール!A"&amp;(ROW()-1)/2-44))</f>
        <v>⑥</v>
      </c>
      <c r="C205" s="645">
        <f ca="1">INDIRECT("U12対戦スケジュール!B"&amp;(ROW()-1)/2-44)</f>
        <v>0.63950000000000007</v>
      </c>
      <c r="D205" s="646"/>
      <c r="E205" s="647"/>
      <c r="F205" s="583"/>
      <c r="G205" s="583"/>
      <c r="H205" s="583"/>
      <c r="I205" s="583"/>
      <c r="J205" s="636" t="str">
        <f ca="1">VLOOKUP(AR205,U12組合せ!B$10:E$19,3,TRUE)</f>
        <v>石井ＦＣ</v>
      </c>
      <c r="K205" s="637"/>
      <c r="L205" s="637"/>
      <c r="M205" s="637"/>
      <c r="N205" s="637"/>
      <c r="O205" s="637"/>
      <c r="P205" s="637"/>
      <c r="Q205" s="635">
        <f>IF(OR(S205="",S206=""),"",S205+S206)</f>
        <v>3</v>
      </c>
      <c r="R205" s="635"/>
      <c r="S205" s="98">
        <v>3</v>
      </c>
      <c r="T205" s="99" t="s">
        <v>7</v>
      </c>
      <c r="U205" s="98">
        <v>0</v>
      </c>
      <c r="V205" s="635">
        <f>IF(OR(U205="",U206=""),"",U205+U206)</f>
        <v>0</v>
      </c>
      <c r="W205" s="635"/>
      <c r="X205" s="636" t="str">
        <f ca="1">VLOOKUP(AS205,U12組合せ!B$10:E$19,3,TRUE)</f>
        <v>ブラッドレスＳＣ</v>
      </c>
      <c r="Y205" s="637"/>
      <c r="Z205" s="637"/>
      <c r="AA205" s="637"/>
      <c r="AB205" s="637"/>
      <c r="AC205" s="637"/>
      <c r="AD205" s="637"/>
      <c r="AE205" s="583"/>
      <c r="AF205" s="583"/>
      <c r="AG205" s="583"/>
      <c r="AH205" s="583"/>
      <c r="AI205" s="634" t="str">
        <f ca="1">DBCS(VLOOKUP(B205,U12対戦スケジュール!A$56:F$59,6,TRUE))</f>
        <v>Ａ１０／Ａ９／Ａ１／Ａ１０</v>
      </c>
      <c r="AJ205" s="583"/>
      <c r="AK205" s="583"/>
      <c r="AL205" s="583"/>
      <c r="AM205" s="583"/>
      <c r="AN205" s="583"/>
      <c r="AO205" s="583"/>
      <c r="AP205" s="583"/>
      <c r="AR205" s="119">
        <f ca="1">INDIRECT("U12対戦スケジュール!ｃ"&amp;(ROW()-1)/2-44)</f>
        <v>2</v>
      </c>
      <c r="AS205" s="119">
        <f ca="1">INDIRECT("U12対戦スケジュール!E"&amp;(ROW()-1)/2-44)</f>
        <v>5</v>
      </c>
    </row>
    <row r="206" spans="2:45" ht="20.100000000000001" customHeight="1" x14ac:dyDescent="0.4">
      <c r="B206" s="644"/>
      <c r="C206" s="648"/>
      <c r="D206" s="649"/>
      <c r="E206" s="650"/>
      <c r="F206" s="583"/>
      <c r="G206" s="583"/>
      <c r="H206" s="583"/>
      <c r="I206" s="583"/>
      <c r="J206" s="637"/>
      <c r="K206" s="637"/>
      <c r="L206" s="637"/>
      <c r="M206" s="637"/>
      <c r="N206" s="637"/>
      <c r="O206" s="637"/>
      <c r="P206" s="637"/>
      <c r="Q206" s="635"/>
      <c r="R206" s="635"/>
      <c r="S206" s="98">
        <v>0</v>
      </c>
      <c r="T206" s="99" t="s">
        <v>7</v>
      </c>
      <c r="U206" s="98">
        <v>0</v>
      </c>
      <c r="V206" s="635"/>
      <c r="W206" s="635"/>
      <c r="X206" s="637"/>
      <c r="Y206" s="637"/>
      <c r="Z206" s="637"/>
      <c r="AA206" s="637"/>
      <c r="AB206" s="637"/>
      <c r="AC206" s="637"/>
      <c r="AD206" s="637"/>
      <c r="AE206" s="583"/>
      <c r="AF206" s="583"/>
      <c r="AG206" s="583"/>
      <c r="AH206" s="583"/>
      <c r="AI206" s="583"/>
      <c r="AJ206" s="583"/>
      <c r="AK206" s="583"/>
      <c r="AL206" s="583"/>
      <c r="AM206" s="583"/>
      <c r="AN206" s="583"/>
      <c r="AO206" s="583"/>
      <c r="AP206" s="583"/>
      <c r="AR206" s="119"/>
      <c r="AS206" s="119"/>
    </row>
    <row r="207" spans="2:45" ht="20.100000000000001" customHeight="1" x14ac:dyDescent="0.4">
      <c r="B207" s="644" t="str">
        <f ca="1">DBCS(INDIRECT("U12対戦スケジュール!A"&amp;(ROW()-1)/2-44))</f>
        <v>⑦</v>
      </c>
      <c r="C207" s="645">
        <f ca="1">INDIRECT("U12対戦スケジュール!B"&amp;(ROW()-1)/2-44)</f>
        <v>0.67400000000000004</v>
      </c>
      <c r="D207" s="646"/>
      <c r="E207" s="647"/>
      <c r="F207" s="583"/>
      <c r="G207" s="583"/>
      <c r="H207" s="583"/>
      <c r="I207" s="583"/>
      <c r="J207" s="636" t="str">
        <f ca="1">VLOOKUP(AR207,U12組合せ!B$10:E$19,3,TRUE)</f>
        <v>unionscU12</v>
      </c>
      <c r="K207" s="637"/>
      <c r="L207" s="637"/>
      <c r="M207" s="637"/>
      <c r="N207" s="637"/>
      <c r="O207" s="637"/>
      <c r="P207" s="637"/>
      <c r="Q207" s="635">
        <f>IF(OR(S207="",S208=""),"",S207+S208)</f>
        <v>3</v>
      </c>
      <c r="R207" s="635"/>
      <c r="S207" s="98">
        <v>2</v>
      </c>
      <c r="T207" s="99" t="s">
        <v>7</v>
      </c>
      <c r="U207" s="98">
        <v>0</v>
      </c>
      <c r="V207" s="635">
        <f>IF(OR(U207="",U208=""),"",U207+U208)</f>
        <v>0</v>
      </c>
      <c r="W207" s="635"/>
      <c r="X207" s="636" t="str">
        <f ca="1">VLOOKUP(AS207,U12組合せ!B$10:E$19,3,TRUE)</f>
        <v>本郷北ＦＣ</v>
      </c>
      <c r="Y207" s="637"/>
      <c r="Z207" s="637"/>
      <c r="AA207" s="637"/>
      <c r="AB207" s="637"/>
      <c r="AC207" s="637"/>
      <c r="AD207" s="637"/>
      <c r="AE207" s="583"/>
      <c r="AF207" s="583"/>
      <c r="AG207" s="583"/>
      <c r="AH207" s="583"/>
      <c r="AI207" s="634" t="str">
        <f ca="1">DBCS(VLOOKUP(B207,U12対戦スケジュール!A$56:F$59,6,TRUE))</f>
        <v>Ａ１／Ａ１０／Ａ２／Ａ１</v>
      </c>
      <c r="AJ207" s="583"/>
      <c r="AK207" s="583"/>
      <c r="AL207" s="583"/>
      <c r="AM207" s="583"/>
      <c r="AN207" s="583"/>
      <c r="AO207" s="583"/>
      <c r="AP207" s="583"/>
      <c r="AR207" s="119">
        <f ca="1">INDIRECT("U12対戦スケジュール!ｃ"&amp;(ROW()-1)/2-44)</f>
        <v>3</v>
      </c>
      <c r="AS207" s="119">
        <f ca="1">INDIRECT("U12対戦スケジュール!E"&amp;(ROW()-1)/2-44)</f>
        <v>9</v>
      </c>
    </row>
    <row r="208" spans="2:45" ht="20.100000000000001" customHeight="1" x14ac:dyDescent="0.4">
      <c r="B208" s="644"/>
      <c r="C208" s="648"/>
      <c r="D208" s="649"/>
      <c r="E208" s="650"/>
      <c r="F208" s="583"/>
      <c r="G208" s="583"/>
      <c r="H208" s="583"/>
      <c r="I208" s="583"/>
      <c r="J208" s="637"/>
      <c r="K208" s="637"/>
      <c r="L208" s="637"/>
      <c r="M208" s="637"/>
      <c r="N208" s="637"/>
      <c r="O208" s="637"/>
      <c r="P208" s="637"/>
      <c r="Q208" s="635"/>
      <c r="R208" s="635"/>
      <c r="S208" s="98">
        <v>1</v>
      </c>
      <c r="T208" s="99" t="s">
        <v>7</v>
      </c>
      <c r="U208" s="98">
        <v>0</v>
      </c>
      <c r="V208" s="635"/>
      <c r="W208" s="635"/>
      <c r="X208" s="637"/>
      <c r="Y208" s="637"/>
      <c r="Z208" s="637"/>
      <c r="AA208" s="637"/>
      <c r="AB208" s="637"/>
      <c r="AC208" s="637"/>
      <c r="AD208" s="637"/>
      <c r="AE208" s="583"/>
      <c r="AF208" s="583"/>
      <c r="AG208" s="583"/>
      <c r="AH208" s="583"/>
      <c r="AI208" s="583"/>
      <c r="AJ208" s="583"/>
      <c r="AK208" s="583"/>
      <c r="AL208" s="583"/>
      <c r="AM208" s="583"/>
      <c r="AN208" s="583"/>
      <c r="AO208" s="583"/>
      <c r="AP208" s="583"/>
      <c r="AR208" s="119"/>
      <c r="AS208" s="119"/>
    </row>
    <row r="209" spans="1:45" ht="20.100000000000001" customHeight="1" x14ac:dyDescent="0.4">
      <c r="B209" s="644"/>
      <c r="C209" s="723"/>
      <c r="D209" s="723"/>
      <c r="E209" s="723"/>
      <c r="F209" s="583"/>
      <c r="G209" s="583"/>
      <c r="H209" s="583"/>
      <c r="I209" s="583"/>
      <c r="J209" s="721"/>
      <c r="K209" s="722"/>
      <c r="L209" s="722"/>
      <c r="M209" s="722"/>
      <c r="N209" s="722"/>
      <c r="O209" s="722"/>
      <c r="P209" s="722"/>
      <c r="Q209" s="634"/>
      <c r="R209" s="634"/>
      <c r="S209" s="98"/>
      <c r="T209" s="99" t="s">
        <v>7</v>
      </c>
      <c r="U209" s="98"/>
      <c r="V209" s="634"/>
      <c r="W209" s="634"/>
      <c r="X209" s="721"/>
      <c r="Y209" s="722"/>
      <c r="Z209" s="722"/>
      <c r="AA209" s="722"/>
      <c r="AB209" s="722"/>
      <c r="AC209" s="722"/>
      <c r="AD209" s="722"/>
      <c r="AE209" s="583"/>
      <c r="AF209" s="583"/>
      <c r="AG209" s="583"/>
      <c r="AH209" s="583"/>
      <c r="AI209" s="634"/>
      <c r="AJ209" s="583"/>
      <c r="AK209" s="583"/>
      <c r="AL209" s="583"/>
      <c r="AM209" s="583"/>
      <c r="AN209" s="583"/>
      <c r="AO209" s="583"/>
      <c r="AP209" s="583"/>
      <c r="AR209" s="119"/>
      <c r="AS209" s="119"/>
    </row>
    <row r="210" spans="1:45" ht="20.100000000000001" customHeight="1" x14ac:dyDescent="0.4">
      <c r="B210" s="644"/>
      <c r="C210" s="723"/>
      <c r="D210" s="723"/>
      <c r="E210" s="723"/>
      <c r="F210" s="583"/>
      <c r="G210" s="583"/>
      <c r="H210" s="583"/>
      <c r="I210" s="583"/>
      <c r="J210" s="722"/>
      <c r="K210" s="722"/>
      <c r="L210" s="722"/>
      <c r="M210" s="722"/>
      <c r="N210" s="722"/>
      <c r="O210" s="722"/>
      <c r="P210" s="722"/>
      <c r="Q210" s="634"/>
      <c r="R210" s="634"/>
      <c r="S210" s="98"/>
      <c r="T210" s="99" t="s">
        <v>7</v>
      </c>
      <c r="U210" s="98"/>
      <c r="V210" s="634"/>
      <c r="W210" s="634"/>
      <c r="X210" s="722"/>
      <c r="Y210" s="722"/>
      <c r="Z210" s="722"/>
      <c r="AA210" s="722"/>
      <c r="AB210" s="722"/>
      <c r="AC210" s="722"/>
      <c r="AD210" s="722"/>
      <c r="AE210" s="583"/>
      <c r="AF210" s="583"/>
      <c r="AG210" s="583"/>
      <c r="AH210" s="583"/>
      <c r="AI210" s="583"/>
      <c r="AJ210" s="583"/>
      <c r="AK210" s="583"/>
      <c r="AL210" s="583"/>
      <c r="AM210" s="583"/>
      <c r="AN210" s="583"/>
      <c r="AO210" s="583"/>
      <c r="AP210" s="583"/>
      <c r="AR210" s="119"/>
      <c r="AS210" s="119"/>
    </row>
    <row r="211" spans="1:45" ht="20.100000000000001" customHeight="1" x14ac:dyDescent="0.4">
      <c r="B211" s="644"/>
      <c r="C211" s="723"/>
      <c r="D211" s="723"/>
      <c r="E211" s="723"/>
      <c r="F211" s="583"/>
      <c r="G211" s="583"/>
      <c r="H211" s="583"/>
      <c r="I211" s="583"/>
      <c r="J211" s="721"/>
      <c r="K211" s="722"/>
      <c r="L211" s="722"/>
      <c r="M211" s="722"/>
      <c r="N211" s="722"/>
      <c r="O211" s="722"/>
      <c r="P211" s="722"/>
      <c r="Q211" s="634"/>
      <c r="R211" s="634"/>
      <c r="S211" s="98"/>
      <c r="T211" s="99" t="s">
        <v>7</v>
      </c>
      <c r="U211" s="98"/>
      <c r="V211" s="634"/>
      <c r="W211" s="634"/>
      <c r="X211" s="721"/>
      <c r="Y211" s="722"/>
      <c r="Z211" s="722"/>
      <c r="AA211" s="722"/>
      <c r="AB211" s="722"/>
      <c r="AC211" s="722"/>
      <c r="AD211" s="722"/>
      <c r="AE211" s="583"/>
      <c r="AF211" s="583"/>
      <c r="AG211" s="583"/>
      <c r="AH211" s="583"/>
      <c r="AI211" s="634"/>
      <c r="AJ211" s="583"/>
      <c r="AK211" s="583"/>
      <c r="AL211" s="583"/>
      <c r="AM211" s="583"/>
      <c r="AN211" s="583"/>
      <c r="AO211" s="583"/>
      <c r="AP211" s="583"/>
      <c r="AR211" s="119"/>
      <c r="AS211" s="119"/>
    </row>
    <row r="212" spans="1:45" ht="20.100000000000001" customHeight="1" x14ac:dyDescent="0.4">
      <c r="B212" s="644"/>
      <c r="C212" s="723"/>
      <c r="D212" s="723"/>
      <c r="E212" s="723"/>
      <c r="F212" s="583"/>
      <c r="G212" s="583"/>
      <c r="H212" s="583"/>
      <c r="I212" s="583"/>
      <c r="J212" s="722"/>
      <c r="K212" s="722"/>
      <c r="L212" s="722"/>
      <c r="M212" s="722"/>
      <c r="N212" s="722"/>
      <c r="O212" s="722"/>
      <c r="P212" s="722"/>
      <c r="Q212" s="634"/>
      <c r="R212" s="634"/>
      <c r="S212" s="98"/>
      <c r="T212" s="99" t="s">
        <v>7</v>
      </c>
      <c r="U212" s="98"/>
      <c r="V212" s="634"/>
      <c r="W212" s="634"/>
      <c r="X212" s="722"/>
      <c r="Y212" s="722"/>
      <c r="Z212" s="722"/>
      <c r="AA212" s="722"/>
      <c r="AB212" s="722"/>
      <c r="AC212" s="722"/>
      <c r="AD212" s="722"/>
      <c r="AE212" s="583"/>
      <c r="AF212" s="583"/>
      <c r="AG212" s="583"/>
      <c r="AH212" s="583"/>
      <c r="AI212" s="583"/>
      <c r="AJ212" s="583"/>
      <c r="AK212" s="583"/>
      <c r="AL212" s="583"/>
      <c r="AM212" s="583"/>
      <c r="AN212" s="583"/>
      <c r="AO212" s="583"/>
      <c r="AP212" s="583"/>
      <c r="AR212" s="119"/>
      <c r="AS212" s="119"/>
    </row>
    <row r="213" spans="1:45" ht="20.100000000000001" customHeight="1" x14ac:dyDescent="0.4">
      <c r="B213" s="644"/>
      <c r="C213" s="723"/>
      <c r="D213" s="723"/>
      <c r="E213" s="723"/>
      <c r="F213" s="583"/>
      <c r="G213" s="583"/>
      <c r="H213" s="583"/>
      <c r="I213" s="583"/>
      <c r="J213" s="721"/>
      <c r="K213" s="722"/>
      <c r="L213" s="722"/>
      <c r="M213" s="722"/>
      <c r="N213" s="722"/>
      <c r="O213" s="722"/>
      <c r="P213" s="722"/>
      <c r="Q213" s="634"/>
      <c r="R213" s="634"/>
      <c r="S213" s="100"/>
      <c r="T213" s="101"/>
      <c r="U213" s="100"/>
      <c r="V213" s="634"/>
      <c r="W213" s="634"/>
      <c r="X213" s="721"/>
      <c r="Y213" s="722"/>
      <c r="Z213" s="722"/>
      <c r="AA213" s="722"/>
      <c r="AB213" s="722"/>
      <c r="AC213" s="722"/>
      <c r="AD213" s="722"/>
      <c r="AE213" s="583"/>
      <c r="AF213" s="583"/>
      <c r="AG213" s="583"/>
      <c r="AH213" s="583"/>
      <c r="AI213" s="634"/>
      <c r="AJ213" s="583"/>
      <c r="AK213" s="583"/>
      <c r="AL213" s="583"/>
      <c r="AM213" s="583"/>
      <c r="AN213" s="583"/>
      <c r="AO213" s="583"/>
      <c r="AP213" s="583"/>
      <c r="AR213" s="119"/>
      <c r="AS213" s="119"/>
    </row>
    <row r="214" spans="1:45" ht="20.100000000000001" customHeight="1" x14ac:dyDescent="0.4">
      <c r="B214" s="644"/>
      <c r="C214" s="723"/>
      <c r="D214" s="723"/>
      <c r="E214" s="723"/>
      <c r="F214" s="583"/>
      <c r="G214" s="583"/>
      <c r="H214" s="583"/>
      <c r="I214" s="583"/>
      <c r="J214" s="722"/>
      <c r="K214" s="722"/>
      <c r="L214" s="722"/>
      <c r="M214" s="722"/>
      <c r="N214" s="722"/>
      <c r="O214" s="722"/>
      <c r="P214" s="722"/>
      <c r="Q214" s="634"/>
      <c r="R214" s="634"/>
      <c r="S214" s="100"/>
      <c r="T214" s="101"/>
      <c r="U214" s="100"/>
      <c r="V214" s="634"/>
      <c r="W214" s="634"/>
      <c r="X214" s="722"/>
      <c r="Y214" s="722"/>
      <c r="Z214" s="722"/>
      <c r="AA214" s="722"/>
      <c r="AB214" s="722"/>
      <c r="AC214" s="722"/>
      <c r="AD214" s="722"/>
      <c r="AE214" s="583"/>
      <c r="AF214" s="583"/>
      <c r="AG214" s="583"/>
      <c r="AH214" s="583"/>
      <c r="AI214" s="583"/>
      <c r="AJ214" s="583"/>
      <c r="AK214" s="583"/>
      <c r="AL214" s="583"/>
      <c r="AM214" s="583"/>
      <c r="AN214" s="583"/>
      <c r="AO214" s="583"/>
      <c r="AP214" s="583"/>
    </row>
    <row r="215" spans="1:45" ht="15.75" customHeight="1" thickBot="1" x14ac:dyDescent="0.45">
      <c r="A215" s="102"/>
      <c r="B215" s="103"/>
      <c r="C215" s="104"/>
      <c r="D215" s="104"/>
      <c r="E215" s="104"/>
      <c r="F215" s="103"/>
      <c r="G215" s="103"/>
      <c r="H215" s="103"/>
      <c r="I215" s="103"/>
      <c r="J215" s="103"/>
      <c r="K215" s="105"/>
      <c r="L215" s="105"/>
      <c r="M215" s="106"/>
      <c r="N215" s="107"/>
      <c r="O215" s="106"/>
      <c r="P215" s="105"/>
      <c r="Q215" s="105"/>
      <c r="R215" s="103"/>
      <c r="S215" s="103"/>
      <c r="T215" s="103"/>
      <c r="U215" s="103"/>
      <c r="V215" s="103"/>
      <c r="W215" s="108"/>
      <c r="X215" s="108"/>
      <c r="Y215" s="108"/>
      <c r="Z215" s="108"/>
      <c r="AA215" s="108"/>
      <c r="AB215" s="108"/>
      <c r="AC215" s="102"/>
    </row>
    <row r="216" spans="1:45" ht="20.25" customHeight="1" thickBot="1" x14ac:dyDescent="0.45">
      <c r="D216" s="664" t="s">
        <v>8</v>
      </c>
      <c r="E216" s="665"/>
      <c r="F216" s="665"/>
      <c r="G216" s="665"/>
      <c r="H216" s="665"/>
      <c r="I216" s="666"/>
      <c r="J216" s="667" t="s">
        <v>5</v>
      </c>
      <c r="K216" s="665"/>
      <c r="L216" s="665"/>
      <c r="M216" s="665"/>
      <c r="N216" s="665"/>
      <c r="O216" s="665"/>
      <c r="P216" s="665"/>
      <c r="Q216" s="666"/>
      <c r="R216" s="668" t="s">
        <v>9</v>
      </c>
      <c r="S216" s="669"/>
      <c r="T216" s="669"/>
      <c r="U216" s="669"/>
      <c r="V216" s="669"/>
      <c r="W216" s="669"/>
      <c r="X216" s="669"/>
      <c r="Y216" s="669"/>
      <c r="Z216" s="670"/>
      <c r="AA216" s="609" t="s">
        <v>10</v>
      </c>
      <c r="AB216" s="610"/>
      <c r="AC216" s="671"/>
      <c r="AD216" s="609" t="s">
        <v>11</v>
      </c>
      <c r="AE216" s="610"/>
      <c r="AF216" s="610"/>
      <c r="AG216" s="610"/>
      <c r="AH216" s="610"/>
      <c r="AI216" s="610"/>
      <c r="AJ216" s="610"/>
      <c r="AK216" s="610"/>
      <c r="AL216" s="610"/>
      <c r="AM216" s="611"/>
    </row>
    <row r="217" spans="1:45" ht="30" customHeight="1" x14ac:dyDescent="0.4">
      <c r="D217" s="651" t="s">
        <v>298</v>
      </c>
      <c r="E217" s="652"/>
      <c r="F217" s="652"/>
      <c r="G217" s="652"/>
      <c r="H217" s="652"/>
      <c r="I217" s="653"/>
      <c r="J217" s="654"/>
      <c r="K217" s="652"/>
      <c r="L217" s="652"/>
      <c r="M217" s="652"/>
      <c r="N217" s="652"/>
      <c r="O217" s="652"/>
      <c r="P217" s="652"/>
      <c r="Q217" s="653"/>
      <c r="R217" s="655"/>
      <c r="S217" s="656"/>
      <c r="T217" s="656"/>
      <c r="U217" s="656"/>
      <c r="V217" s="656"/>
      <c r="W217" s="656"/>
      <c r="X217" s="656"/>
      <c r="Y217" s="656"/>
      <c r="Z217" s="657"/>
      <c r="AA217" s="658"/>
      <c r="AB217" s="659"/>
      <c r="AC217" s="660"/>
      <c r="AD217" s="661"/>
      <c r="AE217" s="662"/>
      <c r="AF217" s="662"/>
      <c r="AG217" s="662"/>
      <c r="AH217" s="662"/>
      <c r="AI217" s="662"/>
      <c r="AJ217" s="662"/>
      <c r="AK217" s="662"/>
      <c r="AL217" s="662"/>
      <c r="AM217" s="663"/>
    </row>
    <row r="218" spans="1:45" ht="30" customHeight="1" x14ac:dyDescent="0.4">
      <c r="D218" s="688" t="s">
        <v>12</v>
      </c>
      <c r="E218" s="604"/>
      <c r="F218" s="604"/>
      <c r="G218" s="604"/>
      <c r="H218" s="604"/>
      <c r="I218" s="605"/>
      <c r="J218" s="603"/>
      <c r="K218" s="604"/>
      <c r="L218" s="604"/>
      <c r="M218" s="604"/>
      <c r="N218" s="604"/>
      <c r="O218" s="604"/>
      <c r="P218" s="604"/>
      <c r="Q218" s="605"/>
      <c r="R218" s="606"/>
      <c r="S218" s="607"/>
      <c r="T218" s="607"/>
      <c r="U218" s="607"/>
      <c r="V218" s="607"/>
      <c r="W218" s="607"/>
      <c r="X218" s="607"/>
      <c r="Y218" s="607"/>
      <c r="Z218" s="608"/>
      <c r="AA218" s="606"/>
      <c r="AB218" s="607"/>
      <c r="AC218" s="608"/>
      <c r="AD218" s="672"/>
      <c r="AE218" s="673"/>
      <c r="AF218" s="673"/>
      <c r="AG218" s="673"/>
      <c r="AH218" s="673"/>
      <c r="AI218" s="673"/>
      <c r="AJ218" s="673"/>
      <c r="AK218" s="673"/>
      <c r="AL218" s="673"/>
      <c r="AM218" s="674"/>
    </row>
    <row r="219" spans="1:45" ht="30" customHeight="1" thickBot="1" x14ac:dyDescent="0.45">
      <c r="D219" s="675" t="s">
        <v>12</v>
      </c>
      <c r="E219" s="676"/>
      <c r="F219" s="676"/>
      <c r="G219" s="676"/>
      <c r="H219" s="676"/>
      <c r="I219" s="677"/>
      <c r="J219" s="678"/>
      <c r="K219" s="676"/>
      <c r="L219" s="676"/>
      <c r="M219" s="676"/>
      <c r="N219" s="676"/>
      <c r="O219" s="676"/>
      <c r="P219" s="676"/>
      <c r="Q219" s="677"/>
      <c r="R219" s="679"/>
      <c r="S219" s="680"/>
      <c r="T219" s="680"/>
      <c r="U219" s="680"/>
      <c r="V219" s="680"/>
      <c r="W219" s="680"/>
      <c r="X219" s="680"/>
      <c r="Y219" s="680"/>
      <c r="Z219" s="681"/>
      <c r="AA219" s="682"/>
      <c r="AB219" s="683"/>
      <c r="AC219" s="684"/>
      <c r="AD219" s="685"/>
      <c r="AE219" s="686"/>
      <c r="AF219" s="686"/>
      <c r="AG219" s="686"/>
      <c r="AH219" s="686"/>
      <c r="AI219" s="686"/>
      <c r="AJ219" s="686"/>
      <c r="AK219" s="686"/>
      <c r="AL219" s="686"/>
      <c r="AM219" s="687"/>
    </row>
    <row r="220" spans="1:45" ht="14.25" customHeight="1" x14ac:dyDescent="0.4">
      <c r="A220" s="115"/>
      <c r="B220" s="599" t="str">
        <f>U12組合せ!$B$1</f>
        <v>ＪＦＡ　Ｕ-１２サッカーリーグ2021（in栃木） 宇都宮地区リーグ戦（前期）</v>
      </c>
      <c r="C220" s="599"/>
      <c r="D220" s="599"/>
      <c r="E220" s="599"/>
      <c r="F220" s="599"/>
      <c r="G220" s="599"/>
      <c r="H220" s="599"/>
      <c r="I220" s="599"/>
      <c r="J220" s="599"/>
      <c r="K220" s="599"/>
      <c r="L220" s="599"/>
      <c r="M220" s="599"/>
      <c r="N220" s="599"/>
      <c r="O220" s="599"/>
      <c r="P220" s="599"/>
      <c r="Q220" s="599"/>
      <c r="R220" s="599"/>
      <c r="S220" s="599"/>
      <c r="T220" s="599"/>
      <c r="U220" s="599"/>
      <c r="V220" s="599"/>
      <c r="W220" s="599"/>
      <c r="X220" s="599"/>
      <c r="Y220" s="599"/>
      <c r="Z220" s="599"/>
      <c r="AA220" s="599"/>
      <c r="AB220" s="599"/>
      <c r="AC220" s="600" t="str">
        <f>"【"&amp;(U12組合せ!$D$3)&amp;"】"</f>
        <v>【Ａ ブロック】</v>
      </c>
      <c r="AD220" s="600"/>
      <c r="AE220" s="600"/>
      <c r="AF220" s="600"/>
      <c r="AG220" s="600"/>
      <c r="AH220" s="600"/>
      <c r="AI220" s="600"/>
      <c r="AJ220" s="600"/>
      <c r="AK220" s="602" t="str">
        <f>"第"&amp;(U12組合せ!$D$33)</f>
        <v>第３節</v>
      </c>
      <c r="AL220" s="602"/>
      <c r="AM220" s="602"/>
      <c r="AN220" s="602"/>
      <c r="AO220" s="602"/>
      <c r="AP220" s="597" t="s">
        <v>300</v>
      </c>
      <c r="AQ220" s="598"/>
    </row>
    <row r="221" spans="1:45" ht="18" customHeight="1" x14ac:dyDescent="0.4">
      <c r="A221" s="115"/>
      <c r="B221" s="599"/>
      <c r="C221" s="599"/>
      <c r="D221" s="599"/>
      <c r="E221" s="599"/>
      <c r="F221" s="599"/>
      <c r="G221" s="599"/>
      <c r="H221" s="599"/>
      <c r="I221" s="599"/>
      <c r="J221" s="599"/>
      <c r="K221" s="599"/>
      <c r="L221" s="599"/>
      <c r="M221" s="599"/>
      <c r="N221" s="599"/>
      <c r="O221" s="599"/>
      <c r="P221" s="599"/>
      <c r="Q221" s="599"/>
      <c r="R221" s="599"/>
      <c r="S221" s="599"/>
      <c r="T221" s="599"/>
      <c r="U221" s="599"/>
      <c r="V221" s="599"/>
      <c r="W221" s="599"/>
      <c r="X221" s="599"/>
      <c r="Y221" s="599"/>
      <c r="Z221" s="599"/>
      <c r="AA221" s="599"/>
      <c r="AB221" s="599"/>
      <c r="AC221" s="601"/>
      <c r="AD221" s="601"/>
      <c r="AE221" s="601"/>
      <c r="AF221" s="601"/>
      <c r="AG221" s="601"/>
      <c r="AH221" s="601"/>
      <c r="AI221" s="601"/>
      <c r="AJ221" s="601"/>
      <c r="AK221" s="601"/>
      <c r="AL221" s="601"/>
      <c r="AM221" s="601"/>
      <c r="AN221" s="601"/>
      <c r="AO221" s="601"/>
      <c r="AP221" s="598"/>
      <c r="AQ221" s="598"/>
    </row>
    <row r="222" spans="1:45" ht="14.25" customHeight="1" x14ac:dyDescent="0.4">
      <c r="A222" s="115"/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F222" s="115"/>
      <c r="AG222" s="115"/>
      <c r="AH222" s="115"/>
      <c r="AI222" s="115"/>
      <c r="AJ222" s="115"/>
      <c r="AK222" s="115"/>
      <c r="AL222" s="115"/>
      <c r="AM222" s="115"/>
      <c r="AN222" s="115"/>
      <c r="AO222" s="115"/>
      <c r="AP222" s="115"/>
      <c r="AQ222" s="115"/>
      <c r="AR222" s="115"/>
      <c r="AS222" s="115"/>
    </row>
    <row r="223" spans="1:45" ht="27.75" customHeight="1" x14ac:dyDescent="0.4">
      <c r="C223" s="635" t="s">
        <v>1</v>
      </c>
      <c r="D223" s="635"/>
      <c r="E223" s="635"/>
      <c r="F223" s="635"/>
      <c r="G223" s="725" t="str">
        <f>U12対戦スケジュール!C64</f>
        <v>GP白沢 南 PM</v>
      </c>
      <c r="H223" s="726"/>
      <c r="I223" s="726"/>
      <c r="J223" s="726"/>
      <c r="K223" s="726"/>
      <c r="L223" s="726"/>
      <c r="M223" s="726"/>
      <c r="N223" s="726"/>
      <c r="O223" s="727"/>
      <c r="P223" s="635" t="s">
        <v>0</v>
      </c>
      <c r="Q223" s="635"/>
      <c r="R223" s="635"/>
      <c r="S223" s="635"/>
      <c r="T223" s="636" t="str">
        <f>E225</f>
        <v>富士見ＳＳＳ</v>
      </c>
      <c r="U223" s="636"/>
      <c r="V223" s="636"/>
      <c r="W223" s="636"/>
      <c r="X223" s="636"/>
      <c r="Y223" s="636"/>
      <c r="Z223" s="636"/>
      <c r="AA223" s="636"/>
      <c r="AB223" s="636"/>
      <c r="AC223" s="635" t="s">
        <v>2</v>
      </c>
      <c r="AD223" s="635"/>
      <c r="AE223" s="635"/>
      <c r="AF223" s="635"/>
      <c r="AG223" s="618">
        <f>U12組合せ!B33</f>
        <v>44325</v>
      </c>
      <c r="AH223" s="619"/>
      <c r="AI223" s="619"/>
      <c r="AJ223" s="619"/>
      <c r="AK223" s="619"/>
      <c r="AL223" s="619"/>
      <c r="AM223" s="620" t="str">
        <f>"（"&amp;TEXT(AG223,"aaa")&amp;"）"</f>
        <v>（日）</v>
      </c>
      <c r="AN223" s="620"/>
      <c r="AO223" s="621"/>
    </row>
    <row r="224" spans="1:45" ht="15" customHeight="1" x14ac:dyDescent="0.4">
      <c r="C224" s="96" t="str">
        <f>U12組合せ!E36</f>
        <v>A1610</v>
      </c>
      <c r="D224" s="102"/>
      <c r="E224" s="102"/>
      <c r="F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95"/>
      <c r="X224" s="95"/>
      <c r="Y224" s="95"/>
      <c r="Z224" s="95"/>
      <c r="AA224" s="95"/>
      <c r="AB224" s="95"/>
      <c r="AC224" s="95"/>
    </row>
    <row r="225" spans="2:51" ht="29.25" customHeight="1" x14ac:dyDescent="0.4">
      <c r="C225" s="636" t="s">
        <v>483</v>
      </c>
      <c r="D225" s="636"/>
      <c r="E225" s="709" t="s">
        <v>473</v>
      </c>
      <c r="F225" s="709"/>
      <c r="G225" s="709"/>
      <c r="H225" s="709"/>
      <c r="I225" s="709"/>
      <c r="J225" s="709"/>
      <c r="K225" s="709"/>
      <c r="L225" s="709"/>
      <c r="M225" s="709"/>
      <c r="N225" s="709"/>
      <c r="O225" s="94"/>
      <c r="P225" s="94"/>
      <c r="Q225" s="710" t="s">
        <v>491</v>
      </c>
      <c r="R225" s="710"/>
      <c r="S225" s="638" t="s">
        <v>477</v>
      </c>
      <c r="T225" s="638"/>
      <c r="U225" s="638"/>
      <c r="V225" s="638"/>
      <c r="W225" s="638"/>
      <c r="X225" s="638"/>
      <c r="Y225" s="638"/>
      <c r="Z225" s="638"/>
      <c r="AA225" s="638"/>
      <c r="AB225" s="638"/>
      <c r="AC225" s="92"/>
      <c r="AD225" s="93"/>
      <c r="AE225" s="637" t="s">
        <v>497</v>
      </c>
      <c r="AF225" s="637"/>
      <c r="AG225" s="584" t="s">
        <v>480</v>
      </c>
      <c r="AH225" s="584"/>
      <c r="AI225" s="584"/>
      <c r="AJ225" s="584"/>
      <c r="AK225" s="584"/>
      <c r="AL225" s="584"/>
      <c r="AM225" s="584"/>
      <c r="AN225" s="584"/>
      <c r="AO225" s="584"/>
      <c r="AP225" s="584"/>
    </row>
    <row r="226" spans="2:51" ht="29.25" customHeight="1" x14ac:dyDescent="0.4">
      <c r="C226" s="637" t="s">
        <v>485</v>
      </c>
      <c r="D226" s="637"/>
      <c r="E226" s="584" t="s">
        <v>474</v>
      </c>
      <c r="F226" s="584"/>
      <c r="G226" s="584"/>
      <c r="H226" s="584"/>
      <c r="I226" s="584"/>
      <c r="J226" s="584"/>
      <c r="K226" s="584"/>
      <c r="L226" s="584"/>
      <c r="M226" s="584"/>
      <c r="N226" s="584"/>
      <c r="O226" s="94"/>
      <c r="P226" s="94"/>
      <c r="Q226" s="636" t="s">
        <v>493</v>
      </c>
      <c r="R226" s="636"/>
      <c r="S226" s="709" t="s">
        <v>478</v>
      </c>
      <c r="T226" s="709"/>
      <c r="U226" s="709"/>
      <c r="V226" s="709"/>
      <c r="W226" s="709"/>
      <c r="X226" s="709"/>
      <c r="Y226" s="709"/>
      <c r="Z226" s="709"/>
      <c r="AA226" s="709"/>
      <c r="AB226" s="709"/>
      <c r="AC226" s="92"/>
      <c r="AD226" s="93"/>
      <c r="AE226" s="710" t="s">
        <v>499</v>
      </c>
      <c r="AF226" s="710"/>
      <c r="AG226" s="638" t="s">
        <v>481</v>
      </c>
      <c r="AH226" s="638"/>
      <c r="AI226" s="638"/>
      <c r="AJ226" s="638"/>
      <c r="AK226" s="638"/>
      <c r="AL226" s="638"/>
      <c r="AM226" s="638"/>
      <c r="AN226" s="638"/>
      <c r="AO226" s="638"/>
      <c r="AP226" s="638"/>
      <c r="AR226" s="96">
        <f>232/2</f>
        <v>116</v>
      </c>
    </row>
    <row r="227" spans="2:51" ht="29.25" customHeight="1" x14ac:dyDescent="0.4">
      <c r="C227" s="710" t="s">
        <v>487</v>
      </c>
      <c r="D227" s="710"/>
      <c r="E227" s="638" t="s">
        <v>475</v>
      </c>
      <c r="F227" s="638"/>
      <c r="G227" s="638"/>
      <c r="H227" s="638"/>
      <c r="I227" s="638"/>
      <c r="J227" s="638"/>
      <c r="K227" s="638"/>
      <c r="L227" s="638"/>
      <c r="M227" s="638"/>
      <c r="N227" s="638"/>
      <c r="O227" s="94"/>
      <c r="P227" s="94"/>
      <c r="Q227" s="637" t="s">
        <v>495</v>
      </c>
      <c r="R227" s="637"/>
      <c r="S227" s="584" t="s">
        <v>479</v>
      </c>
      <c r="T227" s="584"/>
      <c r="U227" s="584"/>
      <c r="V227" s="584"/>
      <c r="W227" s="584"/>
      <c r="X227" s="584"/>
      <c r="Y227" s="584"/>
      <c r="Z227" s="584"/>
      <c r="AA227" s="584"/>
      <c r="AB227" s="584"/>
      <c r="AC227" s="92"/>
      <c r="AD227" s="93"/>
      <c r="AE227" s="636" t="s">
        <v>501</v>
      </c>
      <c r="AF227" s="636"/>
      <c r="AG227" s="709" t="s">
        <v>482</v>
      </c>
      <c r="AH227" s="709"/>
      <c r="AI227" s="709"/>
      <c r="AJ227" s="709"/>
      <c r="AK227" s="709"/>
      <c r="AL227" s="709"/>
      <c r="AM227" s="709"/>
      <c r="AN227" s="709"/>
      <c r="AO227" s="709"/>
      <c r="AP227" s="709"/>
      <c r="AR227" s="96">
        <v>66</v>
      </c>
    </row>
    <row r="228" spans="2:51" ht="29.25" customHeight="1" x14ac:dyDescent="0.4">
      <c r="B228" s="102"/>
      <c r="C228" s="637" t="s">
        <v>489</v>
      </c>
      <c r="D228" s="637"/>
      <c r="E228" s="584" t="s">
        <v>476</v>
      </c>
      <c r="F228" s="584"/>
      <c r="G228" s="584"/>
      <c r="H228" s="584"/>
      <c r="I228" s="584"/>
      <c r="J228" s="584"/>
      <c r="K228" s="584"/>
      <c r="L228" s="584"/>
      <c r="M228" s="584"/>
      <c r="N228" s="584"/>
      <c r="O228" s="94"/>
      <c r="P228" s="94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2"/>
      <c r="AD228" s="94"/>
      <c r="AE228" s="94"/>
      <c r="AF228" s="94"/>
      <c r="AG228" s="94"/>
      <c r="AH228" s="93"/>
      <c r="AI228" s="93"/>
      <c r="AJ228" s="93"/>
      <c r="AK228" s="93"/>
      <c r="AL228" s="93"/>
      <c r="AM228" s="93"/>
      <c r="AN228" s="93"/>
      <c r="AO228" s="93"/>
      <c r="AP228" s="93"/>
      <c r="AR228" s="96">
        <f>AR226-AR227</f>
        <v>50</v>
      </c>
    </row>
    <row r="229" spans="2:51" ht="6.75" customHeight="1" x14ac:dyDescent="0.4">
      <c r="O229" s="102"/>
      <c r="P229" s="102"/>
      <c r="AC229" s="95"/>
    </row>
    <row r="230" spans="2:51" ht="6.75" customHeight="1" x14ac:dyDescent="0.4">
      <c r="C230" s="117"/>
      <c r="D230" s="118"/>
      <c r="E230" s="118"/>
      <c r="F230" s="118"/>
      <c r="G230" s="118"/>
      <c r="H230" s="118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18"/>
      <c r="U230" s="102"/>
      <c r="V230" s="118"/>
      <c r="W230" s="102"/>
      <c r="X230" s="118"/>
      <c r="Y230" s="102"/>
      <c r="Z230" s="118"/>
      <c r="AA230" s="102"/>
      <c r="AB230" s="118"/>
      <c r="AC230" s="118"/>
    </row>
    <row r="231" spans="2:51" ht="21" customHeight="1" x14ac:dyDescent="0.4">
      <c r="B231" s="118" t="str">
        <f ca="1">IF(B233="①","【監督会議 8：20～】","【監督会議 12：50～】")</f>
        <v>【監督会議 12：50～】</v>
      </c>
      <c r="I231" s="96" t="s">
        <v>330</v>
      </c>
    </row>
    <row r="232" spans="2:51" ht="20.25" customHeight="1" x14ac:dyDescent="0.4">
      <c r="B232" s="97"/>
      <c r="C232" s="711" t="s">
        <v>3</v>
      </c>
      <c r="D232" s="711"/>
      <c r="E232" s="711"/>
      <c r="F232" s="712" t="s">
        <v>4</v>
      </c>
      <c r="G232" s="712"/>
      <c r="H232" s="712"/>
      <c r="I232" s="712"/>
      <c r="J232" s="711" t="s">
        <v>5</v>
      </c>
      <c r="K232" s="713"/>
      <c r="L232" s="713"/>
      <c r="M232" s="713"/>
      <c r="N232" s="713"/>
      <c r="O232" s="713"/>
      <c r="P232" s="713"/>
      <c r="Q232" s="711" t="s">
        <v>32</v>
      </c>
      <c r="R232" s="711"/>
      <c r="S232" s="711"/>
      <c r="T232" s="711"/>
      <c r="U232" s="711"/>
      <c r="V232" s="711"/>
      <c r="W232" s="711"/>
      <c r="X232" s="711" t="s">
        <v>5</v>
      </c>
      <c r="Y232" s="713"/>
      <c r="Z232" s="713"/>
      <c r="AA232" s="713"/>
      <c r="AB232" s="713"/>
      <c r="AC232" s="713"/>
      <c r="AD232" s="713"/>
      <c r="AE232" s="712" t="s">
        <v>4</v>
      </c>
      <c r="AF232" s="712"/>
      <c r="AG232" s="712"/>
      <c r="AH232" s="712"/>
      <c r="AI232" s="711" t="s">
        <v>6</v>
      </c>
      <c r="AJ232" s="711"/>
      <c r="AK232" s="713"/>
      <c r="AL232" s="713"/>
      <c r="AM232" s="713"/>
      <c r="AN232" s="713"/>
      <c r="AO232" s="713"/>
      <c r="AP232" s="713"/>
    </row>
    <row r="233" spans="2:51" ht="20.100000000000001" customHeight="1" x14ac:dyDescent="0.4">
      <c r="B233" s="644" t="str">
        <f ca="1">DBCS(INDIRECT("U12対戦スケジュール!A"&amp;(ROW()-1)/2-50))</f>
        <v>④</v>
      </c>
      <c r="C233" s="645">
        <f ca="1">INDIRECT("U12対戦スケジュール!B"&amp;(ROW()-1)/2-50)</f>
        <v>0.5625</v>
      </c>
      <c r="D233" s="646"/>
      <c r="E233" s="647"/>
      <c r="F233" s="583"/>
      <c r="G233" s="583"/>
      <c r="H233" s="583"/>
      <c r="I233" s="583"/>
      <c r="J233" s="636" t="str">
        <f ca="1">VLOOKUP(AR233,U12組合せ!B$10:E$19,3,TRUE)</f>
        <v>富士見ＳＳＳ</v>
      </c>
      <c r="K233" s="637"/>
      <c r="L233" s="637"/>
      <c r="M233" s="637"/>
      <c r="N233" s="637"/>
      <c r="O233" s="637"/>
      <c r="P233" s="637"/>
      <c r="Q233" s="635">
        <f>IF(OR(S233="",S234=""),"",S233+S234)</f>
        <v>3</v>
      </c>
      <c r="R233" s="635"/>
      <c r="S233" s="98">
        <v>1</v>
      </c>
      <c r="T233" s="99" t="s">
        <v>7</v>
      </c>
      <c r="U233" s="98">
        <v>0</v>
      </c>
      <c r="V233" s="635">
        <f>IF(OR(U233="",U234=""),"",U233+U234)</f>
        <v>1</v>
      </c>
      <c r="W233" s="635"/>
      <c r="X233" s="636" t="str">
        <f ca="1">VLOOKUP(AS233,U12組合せ!B$10:E$19,3,TRUE)</f>
        <v>Ｓ４スペランツァ</v>
      </c>
      <c r="Y233" s="637"/>
      <c r="Z233" s="637"/>
      <c r="AA233" s="637"/>
      <c r="AB233" s="637"/>
      <c r="AC233" s="637"/>
      <c r="AD233" s="637"/>
      <c r="AE233" s="583"/>
      <c r="AF233" s="583"/>
      <c r="AG233" s="583"/>
      <c r="AH233" s="583"/>
      <c r="AI233" s="634" t="str">
        <f ca="1">DBCS(INDIRECT("U12対戦スケジュール!F"&amp;(ROW()-1)/2-50))</f>
        <v>Ａ５／Ａ１０／Ａ３／Ａ５</v>
      </c>
      <c r="AJ233" s="583"/>
      <c r="AK233" s="583"/>
      <c r="AL233" s="583"/>
      <c r="AM233" s="583"/>
      <c r="AN233" s="583"/>
      <c r="AO233" s="583"/>
      <c r="AP233" s="583"/>
      <c r="AR233" s="119">
        <f ca="1">INDIRECT("U12対戦スケジュール!ｃ"&amp;(ROW()-1)/2-50)</f>
        <v>1</v>
      </c>
      <c r="AS233" s="119">
        <f ca="1">INDIRECT("U12対戦スケジュール!E"&amp;(ROW()-1)/2-50)</f>
        <v>6</v>
      </c>
      <c r="AT233" s="119"/>
      <c r="AU233" s="102"/>
      <c r="AV233" s="102"/>
      <c r="AW233" s="102"/>
      <c r="AX233" s="102"/>
      <c r="AY233" s="102"/>
    </row>
    <row r="234" spans="2:51" ht="20.100000000000001" customHeight="1" x14ac:dyDescent="0.4">
      <c r="B234" s="644"/>
      <c r="C234" s="648"/>
      <c r="D234" s="649"/>
      <c r="E234" s="650"/>
      <c r="F234" s="583"/>
      <c r="G234" s="583"/>
      <c r="H234" s="583"/>
      <c r="I234" s="583"/>
      <c r="J234" s="637"/>
      <c r="K234" s="637"/>
      <c r="L234" s="637"/>
      <c r="M234" s="637"/>
      <c r="N234" s="637"/>
      <c r="O234" s="637"/>
      <c r="P234" s="637"/>
      <c r="Q234" s="635"/>
      <c r="R234" s="635"/>
      <c r="S234" s="98">
        <v>2</v>
      </c>
      <c r="T234" s="99" t="s">
        <v>7</v>
      </c>
      <c r="U234" s="98">
        <v>1</v>
      </c>
      <c r="V234" s="635"/>
      <c r="W234" s="635"/>
      <c r="X234" s="637"/>
      <c r="Y234" s="637"/>
      <c r="Z234" s="637"/>
      <c r="AA234" s="637"/>
      <c r="AB234" s="637"/>
      <c r="AC234" s="637"/>
      <c r="AD234" s="637"/>
      <c r="AE234" s="583"/>
      <c r="AF234" s="583"/>
      <c r="AG234" s="583"/>
      <c r="AH234" s="583"/>
      <c r="AI234" s="583"/>
      <c r="AJ234" s="583"/>
      <c r="AK234" s="583"/>
      <c r="AL234" s="583"/>
      <c r="AM234" s="583"/>
      <c r="AN234" s="583"/>
      <c r="AO234" s="583"/>
      <c r="AP234" s="583"/>
      <c r="AR234" s="119"/>
      <c r="AS234" s="119"/>
      <c r="AU234" s="102"/>
      <c r="AV234" s="102"/>
      <c r="AW234" s="102"/>
      <c r="AX234" s="102"/>
      <c r="AY234" s="102"/>
    </row>
    <row r="235" spans="2:51" ht="20.100000000000001" customHeight="1" x14ac:dyDescent="0.4">
      <c r="B235" s="644" t="str">
        <f ca="1">DBCS(INDIRECT("U12対戦スケジュール!A"&amp;(ROW()-1)/2-50))</f>
        <v>⑤</v>
      </c>
      <c r="C235" s="645">
        <f ca="1">INDIRECT("U12対戦スケジュール!B"&amp;(ROW()-1)/2-50)</f>
        <v>0.60450000000000004</v>
      </c>
      <c r="D235" s="646"/>
      <c r="E235" s="647"/>
      <c r="F235" s="583"/>
      <c r="G235" s="583"/>
      <c r="H235" s="583"/>
      <c r="I235" s="583"/>
      <c r="J235" s="636" t="str">
        <f ca="1">VLOOKUP(AR235,U12組合せ!B$10:E$19,3,TRUE)</f>
        <v>FCアネーロ・U-12</v>
      </c>
      <c r="K235" s="637"/>
      <c r="L235" s="637"/>
      <c r="M235" s="637"/>
      <c r="N235" s="637"/>
      <c r="O235" s="637"/>
      <c r="P235" s="637"/>
      <c r="Q235" s="635">
        <f>IF(OR(S235="",S236=""),"",S235+S236)</f>
        <v>2</v>
      </c>
      <c r="R235" s="635"/>
      <c r="S235" s="98">
        <v>1</v>
      </c>
      <c r="T235" s="99" t="s">
        <v>7</v>
      </c>
      <c r="U235" s="98">
        <v>0</v>
      </c>
      <c r="V235" s="635">
        <f>IF(OR(U235="",U236=""),"",U235+U236)</f>
        <v>3</v>
      </c>
      <c r="W235" s="635"/>
      <c r="X235" s="636" t="str">
        <f ca="1">VLOOKUP(AS235,U12組合せ!B$10:E$19,3,TRUE)</f>
        <v>Ｓ４スペランツァ</v>
      </c>
      <c r="Y235" s="637"/>
      <c r="Z235" s="637"/>
      <c r="AA235" s="637"/>
      <c r="AB235" s="637"/>
      <c r="AC235" s="637"/>
      <c r="AD235" s="637"/>
      <c r="AE235" s="583"/>
      <c r="AF235" s="583"/>
      <c r="AG235" s="583"/>
      <c r="AH235" s="583"/>
      <c r="AI235" s="634" t="str">
        <f ca="1">DBCS(INDIRECT("U12対戦スケジュール!F"&amp;(ROW()-1)/2-50))</f>
        <v>Ａ３／Ａ５／Ａ９／Ａ３</v>
      </c>
      <c r="AJ235" s="583"/>
      <c r="AK235" s="583"/>
      <c r="AL235" s="583"/>
      <c r="AM235" s="583"/>
      <c r="AN235" s="583"/>
      <c r="AO235" s="583"/>
      <c r="AP235" s="583"/>
      <c r="AR235" s="119">
        <f ca="1">INDIRECT("U12対戦スケジュール!ｃ"&amp;(ROW()-1)/2-50)</f>
        <v>10</v>
      </c>
      <c r="AS235" s="119">
        <f ca="1">INDIRECT("U12対戦スケジュール!E"&amp;(ROW()-1)/2-50)</f>
        <v>6</v>
      </c>
    </row>
    <row r="236" spans="2:51" ht="20.100000000000001" customHeight="1" x14ac:dyDescent="0.4">
      <c r="B236" s="644"/>
      <c r="C236" s="648"/>
      <c r="D236" s="649"/>
      <c r="E236" s="650"/>
      <c r="F236" s="583"/>
      <c r="G236" s="583"/>
      <c r="H236" s="583"/>
      <c r="I236" s="583"/>
      <c r="J236" s="637"/>
      <c r="K236" s="637"/>
      <c r="L236" s="637"/>
      <c r="M236" s="637"/>
      <c r="N236" s="637"/>
      <c r="O236" s="637"/>
      <c r="P236" s="637"/>
      <c r="Q236" s="635"/>
      <c r="R236" s="635"/>
      <c r="S236" s="98">
        <v>1</v>
      </c>
      <c r="T236" s="99" t="s">
        <v>7</v>
      </c>
      <c r="U236" s="98">
        <v>3</v>
      </c>
      <c r="V236" s="635"/>
      <c r="W236" s="635"/>
      <c r="X236" s="637"/>
      <c r="Y236" s="637"/>
      <c r="Z236" s="637"/>
      <c r="AA236" s="637"/>
      <c r="AB236" s="637"/>
      <c r="AC236" s="637"/>
      <c r="AD236" s="637"/>
      <c r="AE236" s="583"/>
      <c r="AF236" s="583"/>
      <c r="AG236" s="583"/>
      <c r="AH236" s="583"/>
      <c r="AI236" s="583"/>
      <c r="AJ236" s="583"/>
      <c r="AK236" s="583"/>
      <c r="AL236" s="583"/>
      <c r="AM236" s="583"/>
      <c r="AN236" s="583"/>
      <c r="AO236" s="583"/>
      <c r="AP236" s="583"/>
      <c r="AR236" s="119"/>
      <c r="AS236" s="119"/>
    </row>
    <row r="237" spans="2:51" ht="20.100000000000001" customHeight="1" x14ac:dyDescent="0.4">
      <c r="B237" s="644" t="str">
        <f ca="1">DBCS(INDIRECT("U12対戦スケジュール!A"&amp;(ROW()-1)/2-50))</f>
        <v>⑥</v>
      </c>
      <c r="C237" s="645">
        <f ca="1">INDIRECT("U12対戦スケジュール!B"&amp;(ROW()-1)/2-50)</f>
        <v>0.64650000000000007</v>
      </c>
      <c r="D237" s="646"/>
      <c r="E237" s="647"/>
      <c r="F237" s="583"/>
      <c r="G237" s="583"/>
      <c r="H237" s="583"/>
      <c r="I237" s="583"/>
      <c r="J237" s="636" t="str">
        <f ca="1">VLOOKUP(AR237,U12組合せ!B$10:E$19,3,TRUE)</f>
        <v>FCアネーロ・U-12</v>
      </c>
      <c r="K237" s="637"/>
      <c r="L237" s="637"/>
      <c r="M237" s="637"/>
      <c r="N237" s="637"/>
      <c r="O237" s="637"/>
      <c r="P237" s="637"/>
      <c r="Q237" s="635">
        <f>IF(OR(S237="",S238=""),"",S237+S238)</f>
        <v>4</v>
      </c>
      <c r="R237" s="635"/>
      <c r="S237" s="98">
        <v>4</v>
      </c>
      <c r="T237" s="99" t="s">
        <v>7</v>
      </c>
      <c r="U237" s="98">
        <v>0</v>
      </c>
      <c r="V237" s="635">
        <f>IF(OR(U237="",U238=""),"",U237+U238)</f>
        <v>2</v>
      </c>
      <c r="W237" s="635"/>
      <c r="X237" s="636" t="str">
        <f ca="1">VLOOKUP(AS237,U12組合せ!B$10:E$19,3,TRUE)</f>
        <v>富士見ＳＳＳ</v>
      </c>
      <c r="Y237" s="637"/>
      <c r="Z237" s="637"/>
      <c r="AA237" s="637"/>
      <c r="AB237" s="637"/>
      <c r="AC237" s="637"/>
      <c r="AD237" s="637"/>
      <c r="AE237" s="583"/>
      <c r="AF237" s="583"/>
      <c r="AG237" s="583"/>
      <c r="AH237" s="583"/>
      <c r="AI237" s="634" t="str">
        <f ca="1">DBCS(INDIRECT("U12対戦スケジュール!F"&amp;(ROW()-1)/2-50))</f>
        <v>Ａ６／Ａ２／Ａ５／Ａ６</v>
      </c>
      <c r="AJ237" s="583"/>
      <c r="AK237" s="583"/>
      <c r="AL237" s="583"/>
      <c r="AM237" s="583"/>
      <c r="AN237" s="583"/>
      <c r="AO237" s="583"/>
      <c r="AP237" s="583"/>
      <c r="AR237" s="119">
        <f ca="1">INDIRECT("U12対戦スケジュール!ｃ"&amp;(ROW()-1)/2-50)</f>
        <v>10</v>
      </c>
      <c r="AS237" s="119">
        <f ca="1">INDIRECT("U12対戦スケジュール!E"&amp;(ROW()-1)/2-50)</f>
        <v>1</v>
      </c>
    </row>
    <row r="238" spans="2:51" ht="20.100000000000001" customHeight="1" x14ac:dyDescent="0.4">
      <c r="B238" s="644"/>
      <c r="C238" s="648"/>
      <c r="D238" s="649"/>
      <c r="E238" s="650"/>
      <c r="F238" s="583"/>
      <c r="G238" s="583"/>
      <c r="H238" s="583"/>
      <c r="I238" s="583"/>
      <c r="J238" s="637"/>
      <c r="K238" s="637"/>
      <c r="L238" s="637"/>
      <c r="M238" s="637"/>
      <c r="N238" s="637"/>
      <c r="O238" s="637"/>
      <c r="P238" s="637"/>
      <c r="Q238" s="635"/>
      <c r="R238" s="635"/>
      <c r="S238" s="98">
        <v>0</v>
      </c>
      <c r="T238" s="99" t="s">
        <v>7</v>
      </c>
      <c r="U238" s="98">
        <v>2</v>
      </c>
      <c r="V238" s="635"/>
      <c r="W238" s="635"/>
      <c r="X238" s="637"/>
      <c r="Y238" s="637"/>
      <c r="Z238" s="637"/>
      <c r="AA238" s="637"/>
      <c r="AB238" s="637"/>
      <c r="AC238" s="637"/>
      <c r="AD238" s="637"/>
      <c r="AE238" s="583"/>
      <c r="AF238" s="583"/>
      <c r="AG238" s="583"/>
      <c r="AH238" s="583"/>
      <c r="AI238" s="583"/>
      <c r="AJ238" s="583"/>
      <c r="AK238" s="583"/>
      <c r="AL238" s="583"/>
      <c r="AM238" s="583"/>
      <c r="AN238" s="583"/>
      <c r="AO238" s="583"/>
      <c r="AP238" s="583"/>
      <c r="AR238" s="119"/>
      <c r="AS238" s="119"/>
    </row>
    <row r="239" spans="2:51" ht="18" customHeight="1" x14ac:dyDescent="0.4">
      <c r="B239" s="644" t="str">
        <f ca="1">DBCS(INDIRECT("U12対戦スケジュール!A"&amp;(ROW()-1)/2-50))</f>
        <v/>
      </c>
      <c r="C239" s="645"/>
      <c r="D239" s="646"/>
      <c r="E239" s="647"/>
      <c r="F239" s="704"/>
      <c r="G239" s="704"/>
      <c r="H239" s="704"/>
      <c r="I239" s="704"/>
      <c r="J239" s="701"/>
      <c r="K239" s="702"/>
      <c r="L239" s="702"/>
      <c r="M239" s="702"/>
      <c r="N239" s="702"/>
      <c r="O239" s="702"/>
      <c r="P239" s="702"/>
      <c r="Q239" s="705"/>
      <c r="R239" s="705"/>
      <c r="S239" s="109"/>
      <c r="T239" s="110"/>
      <c r="U239" s="109"/>
      <c r="V239" s="705"/>
      <c r="W239" s="705"/>
      <c r="X239" s="701"/>
      <c r="Y239" s="702"/>
      <c r="Z239" s="702"/>
      <c r="AA239" s="702"/>
      <c r="AB239" s="702"/>
      <c r="AC239" s="702"/>
      <c r="AD239" s="702"/>
      <c r="AE239" s="704"/>
      <c r="AF239" s="704"/>
      <c r="AG239" s="704"/>
      <c r="AH239" s="704"/>
      <c r="AI239" s="706"/>
      <c r="AJ239" s="707"/>
      <c r="AK239" s="707"/>
      <c r="AL239" s="707"/>
      <c r="AM239" s="707"/>
      <c r="AN239" s="707"/>
      <c r="AO239" s="707"/>
      <c r="AP239" s="707"/>
    </row>
    <row r="240" spans="2:51" ht="18" customHeight="1" x14ac:dyDescent="0.4">
      <c r="B240" s="644"/>
      <c r="C240" s="648"/>
      <c r="D240" s="649"/>
      <c r="E240" s="650"/>
      <c r="F240" s="583"/>
      <c r="G240" s="583"/>
      <c r="H240" s="583"/>
      <c r="I240" s="583"/>
      <c r="J240" s="703"/>
      <c r="K240" s="703"/>
      <c r="L240" s="703"/>
      <c r="M240" s="703"/>
      <c r="N240" s="703"/>
      <c r="O240" s="703"/>
      <c r="P240" s="703"/>
      <c r="Q240" s="634"/>
      <c r="R240" s="634"/>
      <c r="S240" s="100"/>
      <c r="T240" s="101"/>
      <c r="U240" s="100"/>
      <c r="V240" s="634"/>
      <c r="W240" s="634"/>
      <c r="X240" s="703"/>
      <c r="Y240" s="703"/>
      <c r="Z240" s="703"/>
      <c r="AA240" s="703"/>
      <c r="AB240" s="703"/>
      <c r="AC240" s="703"/>
      <c r="AD240" s="703"/>
      <c r="AE240" s="583"/>
      <c r="AF240" s="583"/>
      <c r="AG240" s="583"/>
      <c r="AH240" s="583"/>
      <c r="AI240" s="708"/>
      <c r="AJ240" s="708"/>
      <c r="AK240" s="708"/>
      <c r="AL240" s="708"/>
      <c r="AM240" s="708"/>
      <c r="AN240" s="708"/>
      <c r="AO240" s="708"/>
      <c r="AP240" s="708"/>
    </row>
    <row r="241" spans="1:45" ht="18" customHeight="1" x14ac:dyDescent="0.4">
      <c r="B241" s="644"/>
      <c r="C241" s="645"/>
      <c r="D241" s="646"/>
      <c r="E241" s="647"/>
      <c r="F241" s="583"/>
      <c r="G241" s="583"/>
      <c r="H241" s="583"/>
      <c r="I241" s="583"/>
      <c r="J241" s="720"/>
      <c r="K241" s="703"/>
      <c r="L241" s="703"/>
      <c r="M241" s="703"/>
      <c r="N241" s="703"/>
      <c r="O241" s="703"/>
      <c r="P241" s="703"/>
      <c r="Q241" s="634"/>
      <c r="R241" s="634"/>
      <c r="S241" s="100"/>
      <c r="T241" s="101"/>
      <c r="U241" s="100"/>
      <c r="V241" s="634"/>
      <c r="W241" s="634"/>
      <c r="X241" s="720"/>
      <c r="Y241" s="703"/>
      <c r="Z241" s="703"/>
      <c r="AA241" s="703"/>
      <c r="AB241" s="703"/>
      <c r="AC241" s="703"/>
      <c r="AD241" s="703"/>
      <c r="AE241" s="583"/>
      <c r="AF241" s="583"/>
      <c r="AG241" s="583"/>
      <c r="AH241" s="583"/>
      <c r="AI241" s="719"/>
      <c r="AJ241" s="708"/>
      <c r="AK241" s="708"/>
      <c r="AL241" s="708"/>
      <c r="AM241" s="708"/>
      <c r="AN241" s="708"/>
      <c r="AO241" s="708"/>
      <c r="AP241" s="708"/>
    </row>
    <row r="242" spans="1:45" ht="18" customHeight="1" x14ac:dyDescent="0.4">
      <c r="B242" s="644"/>
      <c r="C242" s="648"/>
      <c r="D242" s="649"/>
      <c r="E242" s="650"/>
      <c r="F242" s="583"/>
      <c r="G242" s="583"/>
      <c r="H242" s="583"/>
      <c r="I242" s="583"/>
      <c r="J242" s="703"/>
      <c r="K242" s="703"/>
      <c r="L242" s="703"/>
      <c r="M242" s="703"/>
      <c r="N242" s="703"/>
      <c r="O242" s="703"/>
      <c r="P242" s="703"/>
      <c r="Q242" s="634"/>
      <c r="R242" s="634"/>
      <c r="S242" s="100"/>
      <c r="T242" s="101"/>
      <c r="U242" s="100"/>
      <c r="V242" s="634"/>
      <c r="W242" s="634"/>
      <c r="X242" s="703"/>
      <c r="Y242" s="703"/>
      <c r="Z242" s="703"/>
      <c r="AA242" s="703"/>
      <c r="AB242" s="703"/>
      <c r="AC242" s="703"/>
      <c r="AD242" s="703"/>
      <c r="AE242" s="583"/>
      <c r="AF242" s="583"/>
      <c r="AG242" s="583"/>
      <c r="AH242" s="583"/>
      <c r="AI242" s="708"/>
      <c r="AJ242" s="708"/>
      <c r="AK242" s="708"/>
      <c r="AL242" s="708"/>
      <c r="AM242" s="708"/>
      <c r="AN242" s="708"/>
      <c r="AO242" s="708"/>
      <c r="AP242" s="708"/>
    </row>
    <row r="243" spans="1:45" ht="18" customHeight="1" x14ac:dyDescent="0.4">
      <c r="B243" s="644"/>
      <c r="C243" s="645"/>
      <c r="D243" s="646"/>
      <c r="E243" s="647"/>
      <c r="F243" s="583"/>
      <c r="G243" s="583"/>
      <c r="H243" s="583"/>
      <c r="I243" s="583"/>
      <c r="J243" s="720"/>
      <c r="K243" s="703"/>
      <c r="L243" s="703"/>
      <c r="M243" s="703"/>
      <c r="N243" s="703"/>
      <c r="O243" s="703"/>
      <c r="P243" s="703"/>
      <c r="Q243" s="634"/>
      <c r="R243" s="634"/>
      <c r="S243" s="100"/>
      <c r="T243" s="101"/>
      <c r="U243" s="100"/>
      <c r="V243" s="634"/>
      <c r="W243" s="634"/>
      <c r="X243" s="720"/>
      <c r="Y243" s="703"/>
      <c r="Z243" s="703"/>
      <c r="AA243" s="703"/>
      <c r="AB243" s="703"/>
      <c r="AC243" s="703"/>
      <c r="AD243" s="703"/>
      <c r="AE243" s="583"/>
      <c r="AF243" s="583"/>
      <c r="AG243" s="583"/>
      <c r="AH243" s="583"/>
      <c r="AI243" s="719"/>
      <c r="AJ243" s="708"/>
      <c r="AK243" s="708"/>
      <c r="AL243" s="708"/>
      <c r="AM243" s="708"/>
      <c r="AN243" s="708"/>
      <c r="AO243" s="708"/>
      <c r="AP243" s="708"/>
    </row>
    <row r="244" spans="1:45" ht="18" customHeight="1" x14ac:dyDescent="0.4">
      <c r="B244" s="644"/>
      <c r="C244" s="648"/>
      <c r="D244" s="649"/>
      <c r="E244" s="650"/>
      <c r="F244" s="583"/>
      <c r="G244" s="583"/>
      <c r="H244" s="583"/>
      <c r="I244" s="583"/>
      <c r="J244" s="703"/>
      <c r="K244" s="703"/>
      <c r="L244" s="703"/>
      <c r="M244" s="703"/>
      <c r="N244" s="703"/>
      <c r="O244" s="703"/>
      <c r="P244" s="703"/>
      <c r="Q244" s="634"/>
      <c r="R244" s="634"/>
      <c r="S244" s="100"/>
      <c r="T244" s="101"/>
      <c r="U244" s="100"/>
      <c r="V244" s="634"/>
      <c r="W244" s="634"/>
      <c r="X244" s="703"/>
      <c r="Y244" s="703"/>
      <c r="Z244" s="703"/>
      <c r="AA244" s="703"/>
      <c r="AB244" s="703"/>
      <c r="AC244" s="703"/>
      <c r="AD244" s="703"/>
      <c r="AE244" s="583"/>
      <c r="AF244" s="583"/>
      <c r="AG244" s="583"/>
      <c r="AH244" s="583"/>
      <c r="AI244" s="708"/>
      <c r="AJ244" s="708"/>
      <c r="AK244" s="708"/>
      <c r="AL244" s="708"/>
      <c r="AM244" s="708"/>
      <c r="AN244" s="708"/>
      <c r="AO244" s="708"/>
      <c r="AP244" s="708"/>
    </row>
    <row r="245" spans="1:45" ht="18" customHeight="1" x14ac:dyDescent="0.4">
      <c r="B245" s="644"/>
      <c r="C245" s="723"/>
      <c r="D245" s="723"/>
      <c r="E245" s="723"/>
      <c r="F245" s="583"/>
      <c r="G245" s="583"/>
      <c r="H245" s="583"/>
      <c r="I245" s="583"/>
      <c r="J245" s="721"/>
      <c r="K245" s="722"/>
      <c r="L245" s="722"/>
      <c r="M245" s="722"/>
      <c r="N245" s="722"/>
      <c r="O245" s="722"/>
      <c r="P245" s="722"/>
      <c r="Q245" s="634"/>
      <c r="R245" s="634"/>
      <c r="S245" s="100"/>
      <c r="T245" s="101"/>
      <c r="U245" s="100"/>
      <c r="V245" s="634"/>
      <c r="W245" s="634"/>
      <c r="X245" s="721"/>
      <c r="Y245" s="722"/>
      <c r="Z245" s="722"/>
      <c r="AA245" s="722"/>
      <c r="AB245" s="722"/>
      <c r="AC245" s="722"/>
      <c r="AD245" s="722"/>
      <c r="AE245" s="583"/>
      <c r="AF245" s="583"/>
      <c r="AG245" s="583"/>
      <c r="AH245" s="583"/>
      <c r="AI245" s="634"/>
      <c r="AJ245" s="583"/>
      <c r="AK245" s="583"/>
      <c r="AL245" s="583"/>
      <c r="AM245" s="583"/>
      <c r="AN245" s="583"/>
      <c r="AO245" s="583"/>
      <c r="AP245" s="583"/>
    </row>
    <row r="246" spans="1:45" ht="18" customHeight="1" x14ac:dyDescent="0.4">
      <c r="B246" s="644"/>
      <c r="C246" s="723"/>
      <c r="D246" s="723"/>
      <c r="E246" s="723"/>
      <c r="F246" s="583"/>
      <c r="G246" s="583"/>
      <c r="H246" s="583"/>
      <c r="I246" s="583"/>
      <c r="J246" s="722"/>
      <c r="K246" s="722"/>
      <c r="L246" s="722"/>
      <c r="M246" s="722"/>
      <c r="N246" s="722"/>
      <c r="O246" s="722"/>
      <c r="P246" s="722"/>
      <c r="Q246" s="634"/>
      <c r="R246" s="634"/>
      <c r="S246" s="100"/>
      <c r="T246" s="101"/>
      <c r="U246" s="100"/>
      <c r="V246" s="634"/>
      <c r="W246" s="634"/>
      <c r="X246" s="722"/>
      <c r="Y246" s="722"/>
      <c r="Z246" s="722"/>
      <c r="AA246" s="722"/>
      <c r="AB246" s="722"/>
      <c r="AC246" s="722"/>
      <c r="AD246" s="722"/>
      <c r="AE246" s="583"/>
      <c r="AF246" s="583"/>
      <c r="AG246" s="583"/>
      <c r="AH246" s="583"/>
      <c r="AI246" s="583"/>
      <c r="AJ246" s="583"/>
      <c r="AK246" s="583"/>
      <c r="AL246" s="583"/>
      <c r="AM246" s="583"/>
      <c r="AN246" s="583"/>
      <c r="AO246" s="583"/>
      <c r="AP246" s="583"/>
    </row>
    <row r="247" spans="1:45" ht="15.75" customHeight="1" thickBot="1" x14ac:dyDescent="0.45">
      <c r="A247" s="102"/>
      <c r="B247" s="103"/>
      <c r="C247" s="104"/>
      <c r="D247" s="104"/>
      <c r="E247" s="104"/>
      <c r="F247" s="103"/>
      <c r="G247" s="103"/>
      <c r="H247" s="103"/>
      <c r="I247" s="103"/>
      <c r="J247" s="103"/>
      <c r="K247" s="105"/>
      <c r="L247" s="105"/>
      <c r="M247" s="106"/>
      <c r="N247" s="107"/>
      <c r="O247" s="106"/>
      <c r="P247" s="105"/>
      <c r="Q247" s="105"/>
      <c r="R247" s="103"/>
      <c r="S247" s="103"/>
      <c r="T247" s="103"/>
      <c r="U247" s="103"/>
      <c r="V247" s="103"/>
      <c r="W247" s="108"/>
      <c r="X247" s="108"/>
      <c r="Y247" s="108"/>
      <c r="Z247" s="108"/>
      <c r="AA247" s="108"/>
      <c r="AB247" s="108"/>
      <c r="AC247" s="102"/>
    </row>
    <row r="248" spans="1:45" ht="20.25" customHeight="1" x14ac:dyDescent="0.4">
      <c r="D248" s="714" t="s">
        <v>8</v>
      </c>
      <c r="E248" s="715"/>
      <c r="F248" s="715"/>
      <c r="G248" s="715"/>
      <c r="H248" s="715"/>
      <c r="I248" s="715"/>
      <c r="J248" s="715" t="s">
        <v>5</v>
      </c>
      <c r="K248" s="715"/>
      <c r="L248" s="715"/>
      <c r="M248" s="715"/>
      <c r="N248" s="715"/>
      <c r="O248" s="715"/>
      <c r="P248" s="715"/>
      <c r="Q248" s="715"/>
      <c r="R248" s="614" t="s">
        <v>9</v>
      </c>
      <c r="S248" s="614"/>
      <c r="T248" s="614"/>
      <c r="U248" s="614"/>
      <c r="V248" s="614"/>
      <c r="W248" s="614"/>
      <c r="X248" s="614"/>
      <c r="Y248" s="614"/>
      <c r="Z248" s="614"/>
      <c r="AA248" s="615" t="s">
        <v>10</v>
      </c>
      <c r="AB248" s="615"/>
      <c r="AC248" s="615"/>
      <c r="AD248" s="615" t="s">
        <v>11</v>
      </c>
      <c r="AE248" s="615"/>
      <c r="AF248" s="615"/>
      <c r="AG248" s="615"/>
      <c r="AH248" s="615"/>
      <c r="AI248" s="615"/>
      <c r="AJ248" s="615"/>
      <c r="AK248" s="615"/>
      <c r="AL248" s="615"/>
      <c r="AM248" s="643"/>
    </row>
    <row r="249" spans="1:45" ht="30" customHeight="1" x14ac:dyDescent="0.4">
      <c r="D249" s="718" t="s">
        <v>12</v>
      </c>
      <c r="E249" s="644"/>
      <c r="F249" s="644"/>
      <c r="G249" s="644"/>
      <c r="H249" s="644"/>
      <c r="I249" s="644"/>
      <c r="J249" s="644"/>
      <c r="K249" s="644"/>
      <c r="L249" s="644"/>
      <c r="M249" s="644"/>
      <c r="N249" s="644"/>
      <c r="O249" s="644"/>
      <c r="P249" s="644"/>
      <c r="Q249" s="644"/>
      <c r="R249" s="639"/>
      <c r="S249" s="639"/>
      <c r="T249" s="639"/>
      <c r="U249" s="639"/>
      <c r="V249" s="639"/>
      <c r="W249" s="639"/>
      <c r="X249" s="639"/>
      <c r="Y249" s="639"/>
      <c r="Z249" s="639"/>
      <c r="AA249" s="724"/>
      <c r="AB249" s="724"/>
      <c r="AC249" s="724"/>
      <c r="AD249" s="595"/>
      <c r="AE249" s="595"/>
      <c r="AF249" s="595"/>
      <c r="AG249" s="595"/>
      <c r="AH249" s="595"/>
      <c r="AI249" s="595"/>
      <c r="AJ249" s="595"/>
      <c r="AK249" s="595"/>
      <c r="AL249" s="595"/>
      <c r="AM249" s="596"/>
    </row>
    <row r="250" spans="1:45" ht="30" customHeight="1" x14ac:dyDescent="0.4">
      <c r="D250" s="718" t="s">
        <v>12</v>
      </c>
      <c r="E250" s="644"/>
      <c r="F250" s="644"/>
      <c r="G250" s="644"/>
      <c r="H250" s="644"/>
      <c r="I250" s="644"/>
      <c r="J250" s="644"/>
      <c r="K250" s="644"/>
      <c r="L250" s="644"/>
      <c r="M250" s="644"/>
      <c r="N250" s="644"/>
      <c r="O250" s="644"/>
      <c r="P250" s="644"/>
      <c r="Q250" s="644"/>
      <c r="R250" s="639"/>
      <c r="S250" s="639"/>
      <c r="T250" s="639"/>
      <c r="U250" s="639"/>
      <c r="V250" s="639"/>
      <c r="W250" s="639"/>
      <c r="X250" s="639"/>
      <c r="Y250" s="639"/>
      <c r="Z250" s="639"/>
      <c r="AA250" s="613"/>
      <c r="AB250" s="613"/>
      <c r="AC250" s="613"/>
      <c r="AD250" s="595"/>
      <c r="AE250" s="595"/>
      <c r="AF250" s="595"/>
      <c r="AG250" s="595"/>
      <c r="AH250" s="595"/>
      <c r="AI250" s="595"/>
      <c r="AJ250" s="595"/>
      <c r="AK250" s="595"/>
      <c r="AL250" s="595"/>
      <c r="AM250" s="596"/>
    </row>
    <row r="251" spans="1:45" ht="30" customHeight="1" thickBot="1" x14ac:dyDescent="0.45">
      <c r="D251" s="616" t="s">
        <v>12</v>
      </c>
      <c r="E251" s="617"/>
      <c r="F251" s="617"/>
      <c r="G251" s="617"/>
      <c r="H251" s="617"/>
      <c r="I251" s="617"/>
      <c r="J251" s="617"/>
      <c r="K251" s="617"/>
      <c r="L251" s="617"/>
      <c r="M251" s="617"/>
      <c r="N251" s="617"/>
      <c r="O251" s="617"/>
      <c r="P251" s="617"/>
      <c r="Q251" s="617"/>
      <c r="R251" s="716"/>
      <c r="S251" s="716"/>
      <c r="T251" s="716"/>
      <c r="U251" s="716"/>
      <c r="V251" s="716"/>
      <c r="W251" s="716"/>
      <c r="X251" s="716"/>
      <c r="Y251" s="716"/>
      <c r="Z251" s="716"/>
      <c r="AA251" s="717"/>
      <c r="AB251" s="717"/>
      <c r="AC251" s="717"/>
      <c r="AD251" s="641"/>
      <c r="AE251" s="641"/>
      <c r="AF251" s="641"/>
      <c r="AG251" s="641"/>
      <c r="AH251" s="641"/>
      <c r="AI251" s="641"/>
      <c r="AJ251" s="641"/>
      <c r="AK251" s="641"/>
      <c r="AL251" s="641"/>
      <c r="AM251" s="642"/>
    </row>
    <row r="252" spans="1:45" ht="14.25" customHeight="1" x14ac:dyDescent="0.4">
      <c r="A252" s="115"/>
      <c r="B252" s="640" t="str">
        <f>U12組合せ!$B$1</f>
        <v>ＪＦＡ　Ｕ-１２サッカーリーグ2021（in栃木） 宇都宮地区リーグ戦（前期）</v>
      </c>
      <c r="C252" s="640"/>
      <c r="D252" s="640"/>
      <c r="E252" s="640"/>
      <c r="F252" s="640"/>
      <c r="G252" s="640"/>
      <c r="H252" s="640"/>
      <c r="I252" s="640"/>
      <c r="J252" s="640"/>
      <c r="K252" s="640"/>
      <c r="L252" s="640"/>
      <c r="M252" s="640"/>
      <c r="N252" s="640"/>
      <c r="O252" s="640"/>
      <c r="P252" s="640"/>
      <c r="Q252" s="640"/>
      <c r="R252" s="640"/>
      <c r="S252" s="640"/>
      <c r="T252" s="640"/>
      <c r="U252" s="640"/>
      <c r="V252" s="640"/>
      <c r="W252" s="640"/>
      <c r="X252" s="640"/>
      <c r="Y252" s="640"/>
      <c r="Z252" s="640"/>
      <c r="AA252" s="640"/>
      <c r="AB252" s="640"/>
      <c r="AC252" s="612" t="str">
        <f>"【"&amp;(U12組合せ!$D$3)&amp;"】"</f>
        <v>【Ａ ブロック】</v>
      </c>
      <c r="AD252" s="612"/>
      <c r="AE252" s="612"/>
      <c r="AF252" s="612"/>
      <c r="AG252" s="612"/>
      <c r="AH252" s="612"/>
      <c r="AI252" s="612"/>
      <c r="AJ252" s="612"/>
      <c r="AK252" s="612" t="str">
        <f>"第"&amp;(U12組合せ!$D$33)</f>
        <v>第３節</v>
      </c>
      <c r="AL252" s="612"/>
      <c r="AM252" s="612"/>
      <c r="AN252" s="612"/>
      <c r="AO252" s="612"/>
      <c r="AP252" s="597" t="s">
        <v>301</v>
      </c>
      <c r="AQ252" s="598"/>
    </row>
    <row r="253" spans="1:45" ht="14.25" customHeight="1" x14ac:dyDescent="0.4">
      <c r="A253" s="115"/>
      <c r="B253" s="640"/>
      <c r="C253" s="640"/>
      <c r="D253" s="640"/>
      <c r="E253" s="640"/>
      <c r="F253" s="640"/>
      <c r="G253" s="640"/>
      <c r="H253" s="640"/>
      <c r="I253" s="640"/>
      <c r="J253" s="640"/>
      <c r="K253" s="640"/>
      <c r="L253" s="640"/>
      <c r="M253" s="640"/>
      <c r="N253" s="640"/>
      <c r="O253" s="640"/>
      <c r="P253" s="640"/>
      <c r="Q253" s="640"/>
      <c r="R253" s="640"/>
      <c r="S253" s="640"/>
      <c r="T253" s="640"/>
      <c r="U253" s="640"/>
      <c r="V253" s="640"/>
      <c r="W253" s="640"/>
      <c r="X253" s="640"/>
      <c r="Y253" s="640"/>
      <c r="Z253" s="640"/>
      <c r="AA253" s="640"/>
      <c r="AB253" s="640"/>
      <c r="AC253" s="612"/>
      <c r="AD253" s="612"/>
      <c r="AE253" s="612"/>
      <c r="AF253" s="612"/>
      <c r="AG253" s="612"/>
      <c r="AH253" s="612"/>
      <c r="AI253" s="612"/>
      <c r="AJ253" s="612"/>
      <c r="AK253" s="612"/>
      <c r="AL253" s="612"/>
      <c r="AM253" s="612"/>
      <c r="AN253" s="612"/>
      <c r="AO253" s="612"/>
      <c r="AP253" s="598"/>
      <c r="AQ253" s="598"/>
    </row>
    <row r="254" spans="1:45" ht="27.75" customHeight="1" x14ac:dyDescent="0.4">
      <c r="C254" s="635" t="s">
        <v>1</v>
      </c>
      <c r="D254" s="635"/>
      <c r="E254" s="635"/>
      <c r="F254" s="635"/>
      <c r="G254" s="636" t="str">
        <f>U12対戦スケジュール!C71</f>
        <v>石井 4 AM</v>
      </c>
      <c r="H254" s="636"/>
      <c r="I254" s="636"/>
      <c r="J254" s="636"/>
      <c r="K254" s="636"/>
      <c r="L254" s="636"/>
      <c r="M254" s="636"/>
      <c r="N254" s="636"/>
      <c r="O254" s="636"/>
      <c r="P254" s="635" t="s">
        <v>0</v>
      </c>
      <c r="Q254" s="635"/>
      <c r="R254" s="635"/>
      <c r="S254" s="635"/>
      <c r="T254" s="636" t="str">
        <f>S257</f>
        <v>上河内ＪＳＣ</v>
      </c>
      <c r="U254" s="636"/>
      <c r="V254" s="636"/>
      <c r="W254" s="636"/>
      <c r="X254" s="636"/>
      <c r="Y254" s="636"/>
      <c r="Z254" s="636"/>
      <c r="AA254" s="636"/>
      <c r="AB254" s="636"/>
      <c r="AC254" s="635" t="s">
        <v>2</v>
      </c>
      <c r="AD254" s="635"/>
      <c r="AE254" s="635"/>
      <c r="AF254" s="635"/>
      <c r="AG254" s="618">
        <f>U12組合せ!B33</f>
        <v>44325</v>
      </c>
      <c r="AH254" s="619"/>
      <c r="AI254" s="619"/>
      <c r="AJ254" s="619"/>
      <c r="AK254" s="619"/>
      <c r="AL254" s="619"/>
      <c r="AM254" s="620" t="str">
        <f>"（"&amp;TEXT(AG254,"aaa")&amp;"）"</f>
        <v>（日）</v>
      </c>
      <c r="AN254" s="620"/>
      <c r="AO254" s="621"/>
    </row>
    <row r="255" spans="1:45" ht="15" customHeight="1" x14ac:dyDescent="0.4">
      <c r="C255" s="102" t="str">
        <f>U12組合せ!E38</f>
        <v>A478</v>
      </c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95"/>
      <c r="X255" s="95"/>
      <c r="Y255" s="95"/>
      <c r="Z255" s="95"/>
      <c r="AA255" s="95"/>
      <c r="AB255" s="95"/>
      <c r="AC255" s="95"/>
    </row>
    <row r="256" spans="1:45" ht="30" customHeight="1" x14ac:dyDescent="0.4">
      <c r="C256" s="637" t="s">
        <v>484</v>
      </c>
      <c r="D256" s="637"/>
      <c r="E256" s="584" t="s">
        <v>473</v>
      </c>
      <c r="F256" s="584"/>
      <c r="G256" s="584"/>
      <c r="H256" s="584"/>
      <c r="I256" s="584"/>
      <c r="J256" s="584"/>
      <c r="K256" s="584"/>
      <c r="L256" s="584"/>
      <c r="M256" s="584"/>
      <c r="N256" s="584"/>
      <c r="O256" s="94"/>
      <c r="P256" s="94"/>
      <c r="Q256" s="637" t="s">
        <v>494</v>
      </c>
      <c r="R256" s="637"/>
      <c r="S256" s="584" t="s">
        <v>478</v>
      </c>
      <c r="T256" s="584"/>
      <c r="U256" s="584"/>
      <c r="V256" s="584"/>
      <c r="W256" s="584"/>
      <c r="X256" s="584"/>
      <c r="Y256" s="584"/>
      <c r="Z256" s="584"/>
      <c r="AA256" s="584"/>
      <c r="AB256" s="584"/>
      <c r="AC256" s="92"/>
      <c r="AD256" s="93"/>
      <c r="AE256" s="710" t="s">
        <v>521</v>
      </c>
      <c r="AF256" s="710"/>
      <c r="AG256" s="638" t="s">
        <v>555</v>
      </c>
      <c r="AH256" s="638"/>
      <c r="AI256" s="638"/>
      <c r="AJ256" s="638"/>
      <c r="AK256" s="638"/>
      <c r="AL256" s="638"/>
      <c r="AM256" s="638"/>
      <c r="AN256" s="638"/>
      <c r="AO256" s="638"/>
      <c r="AP256" s="638"/>
      <c r="AS256" s="96">
        <f>264/2</f>
        <v>132</v>
      </c>
    </row>
    <row r="257" spans="2:47" ht="30" customHeight="1" x14ac:dyDescent="0.4">
      <c r="C257" s="637" t="s">
        <v>485</v>
      </c>
      <c r="D257" s="637"/>
      <c r="E257" s="584" t="s">
        <v>474</v>
      </c>
      <c r="F257" s="584"/>
      <c r="G257" s="584"/>
      <c r="H257" s="584"/>
      <c r="I257" s="584"/>
      <c r="J257" s="584"/>
      <c r="K257" s="584"/>
      <c r="L257" s="584"/>
      <c r="M257" s="584"/>
      <c r="N257" s="584"/>
      <c r="O257" s="94"/>
      <c r="P257" s="94"/>
      <c r="Q257" s="636" t="s">
        <v>495</v>
      </c>
      <c r="R257" s="636"/>
      <c r="S257" s="709" t="s">
        <v>479</v>
      </c>
      <c r="T257" s="709"/>
      <c r="U257" s="709"/>
      <c r="V257" s="709"/>
      <c r="W257" s="709"/>
      <c r="X257" s="709"/>
      <c r="Y257" s="709"/>
      <c r="Z257" s="709"/>
      <c r="AA257" s="709"/>
      <c r="AB257" s="709"/>
      <c r="AC257" s="92"/>
      <c r="AD257" s="93"/>
      <c r="AE257" s="710" t="s">
        <v>522</v>
      </c>
      <c r="AF257" s="710"/>
      <c r="AG257" s="638" t="s">
        <v>557</v>
      </c>
      <c r="AH257" s="638"/>
      <c r="AI257" s="638"/>
      <c r="AJ257" s="638"/>
      <c r="AK257" s="638"/>
      <c r="AL257" s="638"/>
      <c r="AM257" s="638"/>
      <c r="AN257" s="638"/>
      <c r="AO257" s="638"/>
      <c r="AP257" s="638"/>
      <c r="AS257" s="96">
        <v>73</v>
      </c>
    </row>
    <row r="258" spans="2:47" ht="30" customHeight="1" x14ac:dyDescent="0.4">
      <c r="C258" s="637" t="s">
        <v>487</v>
      </c>
      <c r="D258" s="637"/>
      <c r="E258" s="584" t="s">
        <v>475</v>
      </c>
      <c r="F258" s="584"/>
      <c r="G258" s="584"/>
      <c r="H258" s="584"/>
      <c r="I258" s="584"/>
      <c r="J258" s="584"/>
      <c r="K258" s="584"/>
      <c r="L258" s="584"/>
      <c r="M258" s="584"/>
      <c r="N258" s="584"/>
      <c r="O258" s="94"/>
      <c r="P258" s="94"/>
      <c r="Q258" s="636" t="s">
        <v>497</v>
      </c>
      <c r="R258" s="636"/>
      <c r="S258" s="709" t="s">
        <v>480</v>
      </c>
      <c r="T258" s="709"/>
      <c r="U258" s="709"/>
      <c r="V258" s="709"/>
      <c r="W258" s="709"/>
      <c r="X258" s="709"/>
      <c r="Y258" s="709"/>
      <c r="Z258" s="709"/>
      <c r="AA258" s="709"/>
      <c r="AB258" s="709"/>
      <c r="AC258" s="92"/>
      <c r="AD258" s="93"/>
      <c r="AE258" s="710" t="s">
        <v>509</v>
      </c>
      <c r="AF258" s="710"/>
      <c r="AG258" s="638" t="s">
        <v>556</v>
      </c>
      <c r="AH258" s="638"/>
      <c r="AI258" s="638"/>
      <c r="AJ258" s="638"/>
      <c r="AK258" s="638"/>
      <c r="AL258" s="638"/>
      <c r="AM258" s="638"/>
      <c r="AN258" s="638"/>
      <c r="AO258" s="638"/>
      <c r="AP258" s="638"/>
      <c r="AS258" s="96">
        <f>AS256-AS257</f>
        <v>59</v>
      </c>
    </row>
    <row r="259" spans="2:47" ht="30" customHeight="1" x14ac:dyDescent="0.4">
      <c r="B259" s="102"/>
      <c r="C259" s="636" t="s">
        <v>489</v>
      </c>
      <c r="D259" s="636"/>
      <c r="E259" s="709" t="s">
        <v>476</v>
      </c>
      <c r="F259" s="709"/>
      <c r="G259" s="709"/>
      <c r="H259" s="709"/>
      <c r="I259" s="709"/>
      <c r="J259" s="709"/>
      <c r="K259" s="709"/>
      <c r="L259" s="709"/>
      <c r="M259" s="709"/>
      <c r="N259" s="709"/>
      <c r="O259" s="94"/>
      <c r="P259" s="94"/>
      <c r="Q259" s="637" t="s">
        <v>499</v>
      </c>
      <c r="R259" s="637"/>
      <c r="S259" s="584" t="s">
        <v>481</v>
      </c>
      <c r="T259" s="584"/>
      <c r="U259" s="584"/>
      <c r="V259" s="584"/>
      <c r="W259" s="584"/>
      <c r="X259" s="584"/>
      <c r="Y259" s="584"/>
      <c r="Z259" s="584"/>
      <c r="AA259" s="584"/>
      <c r="AB259" s="584"/>
      <c r="AC259" s="92"/>
      <c r="AD259" s="94"/>
      <c r="AE259" s="710" t="s">
        <v>510</v>
      </c>
      <c r="AF259" s="710"/>
      <c r="AG259" s="638" t="s">
        <v>524</v>
      </c>
      <c r="AH259" s="638"/>
      <c r="AI259" s="638"/>
      <c r="AJ259" s="638"/>
      <c r="AK259" s="638"/>
      <c r="AL259" s="638"/>
      <c r="AM259" s="638"/>
      <c r="AN259" s="638"/>
      <c r="AO259" s="638"/>
      <c r="AP259" s="638"/>
    </row>
    <row r="260" spans="2:47" ht="30" customHeight="1" x14ac:dyDescent="0.4">
      <c r="C260" s="637" t="s">
        <v>491</v>
      </c>
      <c r="D260" s="637"/>
      <c r="E260" s="584" t="s">
        <v>477</v>
      </c>
      <c r="F260" s="584"/>
      <c r="G260" s="584"/>
      <c r="H260" s="584"/>
      <c r="I260" s="584"/>
      <c r="J260" s="584"/>
      <c r="K260" s="584"/>
      <c r="L260" s="584"/>
      <c r="M260" s="584"/>
      <c r="N260" s="584"/>
      <c r="O260" s="102"/>
      <c r="P260" s="102"/>
      <c r="Q260" s="637" t="s">
        <v>501</v>
      </c>
      <c r="R260" s="637"/>
      <c r="S260" s="584" t="s">
        <v>482</v>
      </c>
      <c r="T260" s="584"/>
      <c r="U260" s="584"/>
      <c r="V260" s="584"/>
      <c r="W260" s="584"/>
      <c r="X260" s="584"/>
      <c r="Y260" s="584"/>
      <c r="Z260" s="584"/>
      <c r="AA260" s="584"/>
      <c r="AB260" s="584"/>
      <c r="AC260" s="95"/>
      <c r="AE260" s="710" t="s">
        <v>472</v>
      </c>
      <c r="AF260" s="710"/>
      <c r="AG260" s="638" t="s">
        <v>504</v>
      </c>
      <c r="AH260" s="638"/>
      <c r="AI260" s="638"/>
      <c r="AJ260" s="638"/>
      <c r="AK260" s="638"/>
      <c r="AL260" s="638"/>
      <c r="AM260" s="638"/>
      <c r="AN260" s="638"/>
      <c r="AO260" s="638"/>
      <c r="AP260" s="638"/>
    </row>
    <row r="261" spans="2:47" ht="30" customHeight="1" x14ac:dyDescent="0.4">
      <c r="O261" s="102"/>
      <c r="P261" s="102"/>
      <c r="Q261" s="102"/>
      <c r="R261" s="102"/>
      <c r="S261" s="102"/>
      <c r="T261" s="118"/>
      <c r="U261" s="102"/>
      <c r="V261" s="118"/>
      <c r="W261" s="102"/>
      <c r="X261" s="118"/>
      <c r="Y261" s="102"/>
      <c r="Z261" s="118"/>
      <c r="AA261" s="102"/>
      <c r="AB261" s="118"/>
      <c r="AC261" s="118"/>
      <c r="AE261" s="710" t="s">
        <v>512</v>
      </c>
      <c r="AF261" s="710"/>
      <c r="AG261" s="638" t="s">
        <v>529</v>
      </c>
      <c r="AH261" s="638"/>
      <c r="AI261" s="638"/>
      <c r="AJ261" s="638"/>
      <c r="AK261" s="638"/>
      <c r="AL261" s="638"/>
      <c r="AM261" s="638"/>
      <c r="AN261" s="638"/>
      <c r="AO261" s="638"/>
      <c r="AP261" s="638"/>
    </row>
    <row r="262" spans="2:47" ht="42" customHeight="1" x14ac:dyDescent="0.4">
      <c r="B262" s="118" t="str">
        <f ca="1">IF(B264="①","【監督会議 8：20～】","【監督会議 12：50～】")</f>
        <v>【監督会議 8：20～】</v>
      </c>
      <c r="I262" s="96" t="s">
        <v>330</v>
      </c>
    </row>
    <row r="263" spans="2:47" ht="20.25" customHeight="1" x14ac:dyDescent="0.4">
      <c r="B263" s="97"/>
      <c r="C263" s="711" t="s">
        <v>3</v>
      </c>
      <c r="D263" s="711"/>
      <c r="E263" s="711"/>
      <c r="F263" s="712" t="s">
        <v>4</v>
      </c>
      <c r="G263" s="712"/>
      <c r="H263" s="712"/>
      <c r="I263" s="712"/>
      <c r="J263" s="711" t="s">
        <v>5</v>
      </c>
      <c r="K263" s="713"/>
      <c r="L263" s="713"/>
      <c r="M263" s="713"/>
      <c r="N263" s="713"/>
      <c r="O263" s="713"/>
      <c r="P263" s="713"/>
      <c r="Q263" s="711" t="s">
        <v>32</v>
      </c>
      <c r="R263" s="711"/>
      <c r="S263" s="711"/>
      <c r="T263" s="711"/>
      <c r="U263" s="711"/>
      <c r="V263" s="711"/>
      <c r="W263" s="711"/>
      <c r="X263" s="711" t="s">
        <v>5</v>
      </c>
      <c r="Y263" s="713"/>
      <c r="Z263" s="713"/>
      <c r="AA263" s="713"/>
      <c r="AB263" s="713"/>
      <c r="AC263" s="713"/>
      <c r="AD263" s="713"/>
      <c r="AE263" s="712" t="s">
        <v>4</v>
      </c>
      <c r="AF263" s="712"/>
      <c r="AG263" s="712"/>
      <c r="AH263" s="712"/>
      <c r="AI263" s="711" t="s">
        <v>6</v>
      </c>
      <c r="AJ263" s="711"/>
      <c r="AK263" s="713"/>
      <c r="AL263" s="713"/>
      <c r="AM263" s="713"/>
      <c r="AN263" s="713"/>
      <c r="AO263" s="713"/>
      <c r="AP263" s="713"/>
      <c r="AU263" s="102"/>
    </row>
    <row r="264" spans="2:47" ht="20.100000000000001" customHeight="1" x14ac:dyDescent="0.4">
      <c r="B264" s="644" t="str">
        <f ca="1">DBCS(INDIRECT("U12対戦スケジュール!A"&amp;(ROW())/2-59))</f>
        <v>①</v>
      </c>
      <c r="C264" s="645">
        <f ca="1">INDIRECT("U12対戦スケジュール!B"&amp;(ROW())/2-59)</f>
        <v>0.375</v>
      </c>
      <c r="D264" s="646"/>
      <c r="E264" s="647"/>
      <c r="F264" s="583"/>
      <c r="G264" s="583"/>
      <c r="H264" s="583"/>
      <c r="I264" s="583"/>
      <c r="J264" s="636" t="str">
        <f ca="1">VLOOKUP(AR264,U12組合せ!B$10:E$19,3,TRUE)</f>
        <v>ＳＵＧＡＯ・ＳＣ</v>
      </c>
      <c r="K264" s="637"/>
      <c r="L264" s="637"/>
      <c r="M264" s="637"/>
      <c r="N264" s="637"/>
      <c r="O264" s="637"/>
      <c r="P264" s="637"/>
      <c r="Q264" s="635">
        <f>IF(OR(S264="",S265=""),"",S264+S265)</f>
        <v>0</v>
      </c>
      <c r="R264" s="635"/>
      <c r="S264" s="98">
        <v>0</v>
      </c>
      <c r="T264" s="99" t="s">
        <v>7</v>
      </c>
      <c r="U264" s="98">
        <v>0</v>
      </c>
      <c r="V264" s="635">
        <f>IF(OR(U264="",U265=""),"",U264+U265)</f>
        <v>3</v>
      </c>
      <c r="W264" s="635"/>
      <c r="X264" s="636" t="str">
        <f ca="1">VLOOKUP(AS264,U12組合せ!B$10:E$19,3,TRUE)</f>
        <v>上河内ＪＳＣ</v>
      </c>
      <c r="Y264" s="637"/>
      <c r="Z264" s="637"/>
      <c r="AA264" s="637"/>
      <c r="AB264" s="637"/>
      <c r="AC264" s="637"/>
      <c r="AD264" s="637"/>
      <c r="AE264" s="583"/>
      <c r="AF264" s="583"/>
      <c r="AG264" s="583"/>
      <c r="AH264" s="583"/>
      <c r="AI264" s="634" t="str">
        <f ca="1">DBCS(INDIRECT("U12対戦スケジュール!F"&amp;(ROW())/2-59))</f>
        <v>Ａ８／Ｂ３／Ｃ６／Ａ８</v>
      </c>
      <c r="AJ264" s="583"/>
      <c r="AK264" s="583"/>
      <c r="AL264" s="583"/>
      <c r="AM264" s="583"/>
      <c r="AN264" s="583"/>
      <c r="AO264" s="583"/>
      <c r="AP264" s="583"/>
      <c r="AR264" s="119">
        <f ca="1">INDIRECT("U12対戦スケジュール!ｃ"&amp;(ROW())/2-59)</f>
        <v>4</v>
      </c>
      <c r="AS264" s="119">
        <f ca="1">INDIRECT("U12対戦スケジュール!E"&amp;(ROW())/2-59)</f>
        <v>7</v>
      </c>
      <c r="AT264" s="119"/>
      <c r="AU264" s="102"/>
    </row>
    <row r="265" spans="2:47" ht="20.100000000000001" customHeight="1" x14ac:dyDescent="0.4">
      <c r="B265" s="644"/>
      <c r="C265" s="648"/>
      <c r="D265" s="649"/>
      <c r="E265" s="650"/>
      <c r="F265" s="583"/>
      <c r="G265" s="583"/>
      <c r="H265" s="583"/>
      <c r="I265" s="583"/>
      <c r="J265" s="637"/>
      <c r="K265" s="637"/>
      <c r="L265" s="637"/>
      <c r="M265" s="637"/>
      <c r="N265" s="637"/>
      <c r="O265" s="637"/>
      <c r="P265" s="637"/>
      <c r="Q265" s="635"/>
      <c r="R265" s="635"/>
      <c r="S265" s="98">
        <v>0</v>
      </c>
      <c r="T265" s="99" t="s">
        <v>7</v>
      </c>
      <c r="U265" s="98">
        <v>3</v>
      </c>
      <c r="V265" s="635"/>
      <c r="W265" s="635"/>
      <c r="X265" s="637"/>
      <c r="Y265" s="637"/>
      <c r="Z265" s="637"/>
      <c r="AA265" s="637"/>
      <c r="AB265" s="637"/>
      <c r="AC265" s="637"/>
      <c r="AD265" s="637"/>
      <c r="AE265" s="583"/>
      <c r="AF265" s="583"/>
      <c r="AG265" s="583"/>
      <c r="AH265" s="583"/>
      <c r="AI265" s="583"/>
      <c r="AJ265" s="583"/>
      <c r="AK265" s="583"/>
      <c r="AL265" s="583"/>
      <c r="AM265" s="583"/>
      <c r="AN265" s="583"/>
      <c r="AO265" s="583"/>
      <c r="AP265" s="583"/>
      <c r="AR265" s="119"/>
      <c r="AS265" s="119"/>
      <c r="AU265" s="102"/>
    </row>
    <row r="266" spans="2:47" ht="20.100000000000001" customHeight="1" x14ac:dyDescent="0.4">
      <c r="B266" s="644" t="str">
        <f ca="1">DBCS(INDIRECT("U12対戦スケジュール!A"&amp;(ROW())/2-59))</f>
        <v>②</v>
      </c>
      <c r="C266" s="645">
        <f ca="1">INDIRECT("U12対戦スケジュール!B"&amp;(ROW())/2-59)</f>
        <v>0.41699999999999998</v>
      </c>
      <c r="D266" s="646"/>
      <c r="E266" s="647"/>
      <c r="F266" s="583"/>
      <c r="G266" s="583"/>
      <c r="H266" s="583"/>
      <c r="I266" s="583"/>
      <c r="J266" s="636" t="str">
        <f ca="1">VLOOKUP(AR266,U12組合せ!B$10:E$19,3,TRUE)</f>
        <v>国本ＪＳＣ</v>
      </c>
      <c r="K266" s="637"/>
      <c r="L266" s="637"/>
      <c r="M266" s="637"/>
      <c r="N266" s="637"/>
      <c r="O266" s="637"/>
      <c r="P266" s="637"/>
      <c r="Q266" s="635">
        <f>IF(OR(S266="",S267=""),"",S266+S267)</f>
        <v>4</v>
      </c>
      <c r="R266" s="635"/>
      <c r="S266" s="98">
        <v>2</v>
      </c>
      <c r="T266" s="99" t="s">
        <v>7</v>
      </c>
      <c r="U266" s="98">
        <v>2</v>
      </c>
      <c r="V266" s="635">
        <f>IF(OR(U266="",U267=""),"",U266+U267)</f>
        <v>2</v>
      </c>
      <c r="W266" s="635"/>
      <c r="X266" s="636" t="str">
        <f ca="1">VLOOKUP(AS266,U12組合せ!B$10:E$19,3,TRUE)</f>
        <v>上河内ＪＳＣ</v>
      </c>
      <c r="Y266" s="637"/>
      <c r="Z266" s="637"/>
      <c r="AA266" s="637"/>
      <c r="AB266" s="637"/>
      <c r="AC266" s="637"/>
      <c r="AD266" s="637"/>
      <c r="AE266" s="583"/>
      <c r="AF266" s="583"/>
      <c r="AG266" s="583"/>
      <c r="AH266" s="583"/>
      <c r="AI266" s="634" t="str">
        <f ca="1">DBCS(INDIRECT("U12対戦スケジュール!F"&amp;(ROW())/2-59))</f>
        <v>Ａ４／Ｂ４／Ｃ８／Ａ４</v>
      </c>
      <c r="AJ266" s="583"/>
      <c r="AK266" s="583"/>
      <c r="AL266" s="583"/>
      <c r="AM266" s="583"/>
      <c r="AN266" s="583"/>
      <c r="AO266" s="583"/>
      <c r="AP266" s="583"/>
      <c r="AR266" s="119">
        <f ca="1">INDIRECT("U12対戦スケジュール!ｃ"&amp;(ROW())/2-59)</f>
        <v>8</v>
      </c>
      <c r="AS266" s="119">
        <f ca="1">INDIRECT("U12対戦スケジュール!E"&amp;(ROW())/2-59)</f>
        <v>7</v>
      </c>
      <c r="AU266" s="102"/>
    </row>
    <row r="267" spans="2:47" ht="20.100000000000001" customHeight="1" x14ac:dyDescent="0.4">
      <c r="B267" s="644"/>
      <c r="C267" s="648"/>
      <c r="D267" s="649"/>
      <c r="E267" s="650"/>
      <c r="F267" s="583"/>
      <c r="G267" s="583"/>
      <c r="H267" s="583"/>
      <c r="I267" s="583"/>
      <c r="J267" s="637"/>
      <c r="K267" s="637"/>
      <c r="L267" s="637"/>
      <c r="M267" s="637"/>
      <c r="N267" s="637"/>
      <c r="O267" s="637"/>
      <c r="P267" s="637"/>
      <c r="Q267" s="635"/>
      <c r="R267" s="635"/>
      <c r="S267" s="98">
        <v>2</v>
      </c>
      <c r="T267" s="99" t="s">
        <v>7</v>
      </c>
      <c r="U267" s="98">
        <v>0</v>
      </c>
      <c r="V267" s="635"/>
      <c r="W267" s="635"/>
      <c r="X267" s="637"/>
      <c r="Y267" s="637"/>
      <c r="Z267" s="637"/>
      <c r="AA267" s="637"/>
      <c r="AB267" s="637"/>
      <c r="AC267" s="637"/>
      <c r="AD267" s="637"/>
      <c r="AE267" s="583"/>
      <c r="AF267" s="583"/>
      <c r="AG267" s="583"/>
      <c r="AH267" s="583"/>
      <c r="AI267" s="583"/>
      <c r="AJ267" s="583"/>
      <c r="AK267" s="583"/>
      <c r="AL267" s="583"/>
      <c r="AM267" s="583"/>
      <c r="AN267" s="583"/>
      <c r="AO267" s="583"/>
      <c r="AP267" s="583"/>
      <c r="AR267" s="119"/>
      <c r="AS267" s="119"/>
    </row>
    <row r="268" spans="2:47" ht="20.100000000000001" customHeight="1" x14ac:dyDescent="0.4">
      <c r="B268" s="644" t="str">
        <f ca="1">DBCS(INDIRECT("U12対戦スケジュール!A"&amp;(ROW())/2-59))</f>
        <v>③</v>
      </c>
      <c r="C268" s="645">
        <f ca="1">INDIRECT("U12対戦スケジュール!B"&amp;(ROW())/2-59)</f>
        <v>0.45899999999999996</v>
      </c>
      <c r="D268" s="646"/>
      <c r="E268" s="647"/>
      <c r="F268" s="583"/>
      <c r="G268" s="583"/>
      <c r="H268" s="583"/>
      <c r="I268" s="583"/>
      <c r="J268" s="636" t="str">
        <f ca="1">VLOOKUP(AR268,U12組合せ!B$10:E$19,3,TRUE)</f>
        <v>国本ＪＳＣ</v>
      </c>
      <c r="K268" s="637"/>
      <c r="L268" s="637"/>
      <c r="M268" s="637"/>
      <c r="N268" s="637"/>
      <c r="O268" s="637"/>
      <c r="P268" s="637"/>
      <c r="Q268" s="635">
        <f>IF(OR(S268="",S269=""),"",S268+S269)</f>
        <v>5</v>
      </c>
      <c r="R268" s="635"/>
      <c r="S268" s="98">
        <v>1</v>
      </c>
      <c r="T268" s="99" t="s">
        <v>7</v>
      </c>
      <c r="U268" s="98">
        <v>0</v>
      </c>
      <c r="V268" s="635">
        <f>IF(OR(U268="",U269=""),"",U268+U269)</f>
        <v>0</v>
      </c>
      <c r="W268" s="635"/>
      <c r="X268" s="636" t="str">
        <f ca="1">VLOOKUP(AS268,U12組合せ!B$10:E$19,3,TRUE)</f>
        <v>ＳＵＧＡＯ・ＳＣ</v>
      </c>
      <c r="Y268" s="637"/>
      <c r="Z268" s="637"/>
      <c r="AA268" s="637"/>
      <c r="AB268" s="637"/>
      <c r="AC268" s="637"/>
      <c r="AD268" s="637"/>
      <c r="AE268" s="583"/>
      <c r="AF268" s="583"/>
      <c r="AG268" s="583"/>
      <c r="AH268" s="583"/>
      <c r="AI268" s="634" t="str">
        <f ca="1">DBCS(INDIRECT("U12対戦スケジュール!F"&amp;(ROW())/2-59))</f>
        <v>Ａ７／Ｂ８／Ｃ１／Ａ７</v>
      </c>
      <c r="AJ268" s="583"/>
      <c r="AK268" s="583"/>
      <c r="AL268" s="583"/>
      <c r="AM268" s="583"/>
      <c r="AN268" s="583"/>
      <c r="AO268" s="583"/>
      <c r="AP268" s="583"/>
      <c r="AR268" s="119">
        <f ca="1">INDIRECT("U12対戦スケジュール!ｃ"&amp;(ROW())/2-59)</f>
        <v>8</v>
      </c>
      <c r="AS268" s="119">
        <f ca="1">INDIRECT("U12対戦スケジュール!E"&amp;(ROW())/2-59)</f>
        <v>4</v>
      </c>
    </row>
    <row r="269" spans="2:47" ht="20.100000000000001" customHeight="1" x14ac:dyDescent="0.4">
      <c r="B269" s="644"/>
      <c r="C269" s="648"/>
      <c r="D269" s="649"/>
      <c r="E269" s="650"/>
      <c r="F269" s="583"/>
      <c r="G269" s="583"/>
      <c r="H269" s="583"/>
      <c r="I269" s="583"/>
      <c r="J269" s="637"/>
      <c r="K269" s="637"/>
      <c r="L269" s="637"/>
      <c r="M269" s="637"/>
      <c r="N269" s="637"/>
      <c r="O269" s="637"/>
      <c r="P269" s="637"/>
      <c r="Q269" s="635"/>
      <c r="R269" s="635"/>
      <c r="S269" s="98">
        <v>4</v>
      </c>
      <c r="T269" s="99" t="s">
        <v>7</v>
      </c>
      <c r="U269" s="98">
        <v>0</v>
      </c>
      <c r="V269" s="635"/>
      <c r="W269" s="635"/>
      <c r="X269" s="637"/>
      <c r="Y269" s="637"/>
      <c r="Z269" s="637"/>
      <c r="AA269" s="637"/>
      <c r="AB269" s="637"/>
      <c r="AC269" s="637"/>
      <c r="AD269" s="637"/>
      <c r="AE269" s="583"/>
      <c r="AF269" s="583"/>
      <c r="AG269" s="583"/>
      <c r="AH269" s="583"/>
      <c r="AI269" s="583"/>
      <c r="AJ269" s="583"/>
      <c r="AK269" s="583"/>
      <c r="AL269" s="583"/>
      <c r="AM269" s="583"/>
      <c r="AN269" s="583"/>
      <c r="AO269" s="583"/>
      <c r="AP269" s="583"/>
      <c r="AR269" s="119"/>
      <c r="AS269" s="119"/>
    </row>
    <row r="270" spans="2:47" ht="20.100000000000001" customHeight="1" x14ac:dyDescent="0.4">
      <c r="B270" s="644" t="str">
        <f ca="1">DBCS(INDIRECT("U12対戦スケジュール!A"&amp;(ROW())/2-59))</f>
        <v/>
      </c>
      <c r="C270" s="645"/>
      <c r="D270" s="646"/>
      <c r="E270" s="647"/>
      <c r="F270" s="704"/>
      <c r="G270" s="704"/>
      <c r="H270" s="704"/>
      <c r="I270" s="704"/>
      <c r="J270" s="701"/>
      <c r="K270" s="702"/>
      <c r="L270" s="702"/>
      <c r="M270" s="702"/>
      <c r="N270" s="702"/>
      <c r="O270" s="702"/>
      <c r="P270" s="702"/>
      <c r="Q270" s="705"/>
      <c r="R270" s="705"/>
      <c r="S270" s="109"/>
      <c r="T270" s="110"/>
      <c r="U270" s="109"/>
      <c r="V270" s="705"/>
      <c r="W270" s="705"/>
      <c r="X270" s="701"/>
      <c r="Y270" s="702"/>
      <c r="Z270" s="702"/>
      <c r="AA270" s="702"/>
      <c r="AB270" s="702"/>
      <c r="AC270" s="702"/>
      <c r="AD270" s="702"/>
      <c r="AE270" s="704"/>
      <c r="AF270" s="704"/>
      <c r="AG270" s="704"/>
      <c r="AH270" s="704"/>
      <c r="AI270" s="706"/>
      <c r="AJ270" s="707"/>
      <c r="AK270" s="707"/>
      <c r="AL270" s="707"/>
      <c r="AM270" s="707"/>
      <c r="AN270" s="707"/>
      <c r="AO270" s="707"/>
      <c r="AP270" s="707"/>
      <c r="AR270" s="119"/>
      <c r="AS270" s="119"/>
    </row>
    <row r="271" spans="2:47" ht="20.100000000000001" customHeight="1" x14ac:dyDescent="0.4">
      <c r="B271" s="644"/>
      <c r="C271" s="648"/>
      <c r="D271" s="649"/>
      <c r="E271" s="650"/>
      <c r="F271" s="583"/>
      <c r="G271" s="583"/>
      <c r="H271" s="583"/>
      <c r="I271" s="583"/>
      <c r="J271" s="703"/>
      <c r="K271" s="703"/>
      <c r="L271" s="703"/>
      <c r="M271" s="703"/>
      <c r="N271" s="703"/>
      <c r="O271" s="703"/>
      <c r="P271" s="703"/>
      <c r="Q271" s="634"/>
      <c r="R271" s="634"/>
      <c r="S271" s="100"/>
      <c r="T271" s="101"/>
      <c r="U271" s="100"/>
      <c r="V271" s="634"/>
      <c r="W271" s="634"/>
      <c r="X271" s="703"/>
      <c r="Y271" s="703"/>
      <c r="Z271" s="703"/>
      <c r="AA271" s="703"/>
      <c r="AB271" s="703"/>
      <c r="AC271" s="703"/>
      <c r="AD271" s="703"/>
      <c r="AE271" s="583"/>
      <c r="AF271" s="583"/>
      <c r="AG271" s="583"/>
      <c r="AH271" s="583"/>
      <c r="AI271" s="708"/>
      <c r="AJ271" s="708"/>
      <c r="AK271" s="708"/>
      <c r="AL271" s="708"/>
      <c r="AM271" s="708"/>
      <c r="AN271" s="708"/>
      <c r="AO271" s="708"/>
      <c r="AP271" s="708"/>
      <c r="AR271" s="119"/>
      <c r="AS271" s="119"/>
    </row>
    <row r="272" spans="2:47" ht="20.100000000000001" customHeight="1" x14ac:dyDescent="0.4">
      <c r="B272" s="585"/>
      <c r="C272" s="587"/>
      <c r="D272" s="588"/>
      <c r="E272" s="589"/>
      <c r="F272" s="622"/>
      <c r="G272" s="623"/>
      <c r="H272" s="623"/>
      <c r="I272" s="624"/>
      <c r="J272" s="689"/>
      <c r="K272" s="690"/>
      <c r="L272" s="690"/>
      <c r="M272" s="690"/>
      <c r="N272" s="690"/>
      <c r="O272" s="690"/>
      <c r="P272" s="691"/>
      <c r="Q272" s="628"/>
      <c r="R272" s="630"/>
      <c r="S272" s="100"/>
      <c r="T272" s="101"/>
      <c r="U272" s="100"/>
      <c r="V272" s="628"/>
      <c r="W272" s="630"/>
      <c r="X272" s="695"/>
      <c r="Y272" s="696"/>
      <c r="Z272" s="696"/>
      <c r="AA272" s="696"/>
      <c r="AB272" s="696"/>
      <c r="AC272" s="696"/>
      <c r="AD272" s="697"/>
      <c r="AE272" s="622"/>
      <c r="AF272" s="623"/>
      <c r="AG272" s="623"/>
      <c r="AH272" s="624"/>
      <c r="AI272" s="628"/>
      <c r="AJ272" s="629"/>
      <c r="AK272" s="629"/>
      <c r="AL272" s="629"/>
      <c r="AM272" s="629"/>
      <c r="AN272" s="629"/>
      <c r="AO272" s="629"/>
      <c r="AP272" s="630"/>
    </row>
    <row r="273" spans="1:45" ht="20.100000000000001" customHeight="1" x14ac:dyDescent="0.4">
      <c r="B273" s="586"/>
      <c r="C273" s="590"/>
      <c r="D273" s="591"/>
      <c r="E273" s="592"/>
      <c r="F273" s="625"/>
      <c r="G273" s="626"/>
      <c r="H273" s="626"/>
      <c r="I273" s="627"/>
      <c r="J273" s="692"/>
      <c r="K273" s="693"/>
      <c r="L273" s="693"/>
      <c r="M273" s="693"/>
      <c r="N273" s="693"/>
      <c r="O273" s="693"/>
      <c r="P273" s="694"/>
      <c r="Q273" s="631"/>
      <c r="R273" s="633"/>
      <c r="S273" s="100"/>
      <c r="T273" s="101"/>
      <c r="U273" s="100"/>
      <c r="V273" s="631"/>
      <c r="W273" s="633"/>
      <c r="X273" s="698"/>
      <c r="Y273" s="699"/>
      <c r="Z273" s="699"/>
      <c r="AA273" s="699"/>
      <c r="AB273" s="699"/>
      <c r="AC273" s="699"/>
      <c r="AD273" s="700"/>
      <c r="AE273" s="625"/>
      <c r="AF273" s="626"/>
      <c r="AG273" s="626"/>
      <c r="AH273" s="627"/>
      <c r="AI273" s="631"/>
      <c r="AJ273" s="632"/>
      <c r="AK273" s="632"/>
      <c r="AL273" s="632"/>
      <c r="AM273" s="632"/>
      <c r="AN273" s="632"/>
      <c r="AO273" s="632"/>
      <c r="AP273" s="633"/>
    </row>
    <row r="274" spans="1:45" ht="20.100000000000001" customHeight="1" x14ac:dyDescent="0.4">
      <c r="B274" s="585"/>
      <c r="C274" s="587"/>
      <c r="D274" s="588"/>
      <c r="E274" s="589"/>
      <c r="F274" s="622"/>
      <c r="G274" s="623"/>
      <c r="H274" s="623"/>
      <c r="I274" s="624"/>
      <c r="J274" s="689"/>
      <c r="K274" s="690"/>
      <c r="L274" s="690"/>
      <c r="M274" s="690"/>
      <c r="N274" s="690"/>
      <c r="O274" s="690"/>
      <c r="P274" s="691"/>
      <c r="Q274" s="628"/>
      <c r="R274" s="630"/>
      <c r="S274" s="100"/>
      <c r="T274" s="101"/>
      <c r="U274" s="100"/>
      <c r="V274" s="628"/>
      <c r="W274" s="630"/>
      <c r="X274" s="695"/>
      <c r="Y274" s="696"/>
      <c r="Z274" s="696"/>
      <c r="AA274" s="696"/>
      <c r="AB274" s="696"/>
      <c r="AC274" s="696"/>
      <c r="AD274" s="697"/>
      <c r="AE274" s="622"/>
      <c r="AF274" s="623"/>
      <c r="AG274" s="623"/>
      <c r="AH274" s="624"/>
      <c r="AI274" s="628"/>
      <c r="AJ274" s="629"/>
      <c r="AK274" s="629"/>
      <c r="AL274" s="629"/>
      <c r="AM274" s="629"/>
      <c r="AN274" s="629"/>
      <c r="AO274" s="629"/>
      <c r="AP274" s="630"/>
    </row>
    <row r="275" spans="1:45" ht="20.100000000000001" customHeight="1" x14ac:dyDescent="0.4">
      <c r="B275" s="586"/>
      <c r="C275" s="590"/>
      <c r="D275" s="591"/>
      <c r="E275" s="592"/>
      <c r="F275" s="625"/>
      <c r="G275" s="626"/>
      <c r="H275" s="626"/>
      <c r="I275" s="627"/>
      <c r="J275" s="692"/>
      <c r="K275" s="693"/>
      <c r="L275" s="693"/>
      <c r="M275" s="693"/>
      <c r="N275" s="693"/>
      <c r="O275" s="693"/>
      <c r="P275" s="694"/>
      <c r="Q275" s="631"/>
      <c r="R275" s="633"/>
      <c r="S275" s="100"/>
      <c r="T275" s="101"/>
      <c r="U275" s="100"/>
      <c r="V275" s="631"/>
      <c r="W275" s="633"/>
      <c r="X275" s="698"/>
      <c r="Y275" s="699"/>
      <c r="Z275" s="699"/>
      <c r="AA275" s="699"/>
      <c r="AB275" s="699"/>
      <c r="AC275" s="699"/>
      <c r="AD275" s="700"/>
      <c r="AE275" s="625"/>
      <c r="AF275" s="626"/>
      <c r="AG275" s="626"/>
      <c r="AH275" s="627"/>
      <c r="AI275" s="631"/>
      <c r="AJ275" s="632"/>
      <c r="AK275" s="632"/>
      <c r="AL275" s="632"/>
      <c r="AM275" s="632"/>
      <c r="AN275" s="632"/>
      <c r="AO275" s="632"/>
      <c r="AP275" s="633"/>
    </row>
    <row r="276" spans="1:45" ht="20.100000000000001" customHeight="1" x14ac:dyDescent="0.4">
      <c r="B276" s="585"/>
      <c r="C276" s="587"/>
      <c r="D276" s="588"/>
      <c r="E276" s="589"/>
      <c r="F276" s="622"/>
      <c r="G276" s="623"/>
      <c r="H276" s="623"/>
      <c r="I276" s="624"/>
      <c r="J276" s="689"/>
      <c r="K276" s="690"/>
      <c r="L276" s="690"/>
      <c r="M276" s="690"/>
      <c r="N276" s="690"/>
      <c r="O276" s="690"/>
      <c r="P276" s="691"/>
      <c r="Q276" s="628"/>
      <c r="R276" s="630"/>
      <c r="S276" s="100"/>
      <c r="T276" s="101"/>
      <c r="U276" s="100"/>
      <c r="V276" s="628"/>
      <c r="W276" s="630"/>
      <c r="X276" s="695"/>
      <c r="Y276" s="696"/>
      <c r="Z276" s="696"/>
      <c r="AA276" s="696"/>
      <c r="AB276" s="696"/>
      <c r="AC276" s="696"/>
      <c r="AD276" s="697"/>
      <c r="AE276" s="622"/>
      <c r="AF276" s="623"/>
      <c r="AG276" s="623"/>
      <c r="AH276" s="624"/>
      <c r="AI276" s="628"/>
      <c r="AJ276" s="629"/>
      <c r="AK276" s="629"/>
      <c r="AL276" s="629"/>
      <c r="AM276" s="629"/>
      <c r="AN276" s="629"/>
      <c r="AO276" s="629"/>
      <c r="AP276" s="630"/>
    </row>
    <row r="277" spans="1:45" ht="20.100000000000001" customHeight="1" x14ac:dyDescent="0.4">
      <c r="B277" s="586"/>
      <c r="C277" s="590"/>
      <c r="D277" s="591"/>
      <c r="E277" s="592"/>
      <c r="F277" s="625"/>
      <c r="G277" s="626"/>
      <c r="H277" s="626"/>
      <c r="I277" s="627"/>
      <c r="J277" s="692"/>
      <c r="K277" s="693"/>
      <c r="L277" s="693"/>
      <c r="M277" s="693"/>
      <c r="N277" s="693"/>
      <c r="O277" s="693"/>
      <c r="P277" s="694"/>
      <c r="Q277" s="631"/>
      <c r="R277" s="633"/>
      <c r="S277" s="100"/>
      <c r="T277" s="101"/>
      <c r="U277" s="100"/>
      <c r="V277" s="631"/>
      <c r="W277" s="633"/>
      <c r="X277" s="698"/>
      <c r="Y277" s="699"/>
      <c r="Z277" s="699"/>
      <c r="AA277" s="699"/>
      <c r="AB277" s="699"/>
      <c r="AC277" s="699"/>
      <c r="AD277" s="700"/>
      <c r="AE277" s="625"/>
      <c r="AF277" s="626"/>
      <c r="AG277" s="626"/>
      <c r="AH277" s="627"/>
      <c r="AI277" s="631"/>
      <c r="AJ277" s="632"/>
      <c r="AK277" s="632"/>
      <c r="AL277" s="632"/>
      <c r="AM277" s="632"/>
      <c r="AN277" s="632"/>
      <c r="AO277" s="632"/>
      <c r="AP277" s="633"/>
    </row>
    <row r="278" spans="1:45" ht="15.75" customHeight="1" thickBot="1" x14ac:dyDescent="0.45">
      <c r="A278" s="102"/>
      <c r="B278" s="103"/>
      <c r="C278" s="104"/>
      <c r="D278" s="104"/>
      <c r="E278" s="104"/>
      <c r="F278" s="103"/>
      <c r="G278" s="103"/>
      <c r="H278" s="103"/>
      <c r="I278" s="103"/>
      <c r="J278" s="103"/>
      <c r="K278" s="105"/>
      <c r="L278" s="105"/>
      <c r="M278" s="106"/>
      <c r="N278" s="107"/>
      <c r="O278" s="106"/>
      <c r="P278" s="105"/>
      <c r="Q278" s="105"/>
      <c r="R278" s="103"/>
      <c r="S278" s="103"/>
      <c r="T278" s="103"/>
      <c r="U278" s="103"/>
      <c r="V278" s="103"/>
      <c r="W278" s="108"/>
      <c r="X278" s="108"/>
      <c r="Y278" s="108"/>
      <c r="Z278" s="108"/>
      <c r="AA278" s="108"/>
      <c r="AB278" s="108"/>
      <c r="AC278" s="102"/>
    </row>
    <row r="279" spans="1:45" ht="20.25" customHeight="1" thickBot="1" x14ac:dyDescent="0.45">
      <c r="D279" s="664" t="s">
        <v>8</v>
      </c>
      <c r="E279" s="665"/>
      <c r="F279" s="665"/>
      <c r="G279" s="665"/>
      <c r="H279" s="665"/>
      <c r="I279" s="666"/>
      <c r="J279" s="667" t="s">
        <v>5</v>
      </c>
      <c r="K279" s="665"/>
      <c r="L279" s="665"/>
      <c r="M279" s="665"/>
      <c r="N279" s="665"/>
      <c r="O279" s="665"/>
      <c r="P279" s="665"/>
      <c r="Q279" s="666"/>
      <c r="R279" s="668" t="s">
        <v>9</v>
      </c>
      <c r="S279" s="669"/>
      <c r="T279" s="669"/>
      <c r="U279" s="669"/>
      <c r="V279" s="669"/>
      <c r="W279" s="669"/>
      <c r="X279" s="669"/>
      <c r="Y279" s="669"/>
      <c r="Z279" s="670"/>
      <c r="AA279" s="609" t="s">
        <v>10</v>
      </c>
      <c r="AB279" s="610"/>
      <c r="AC279" s="671"/>
      <c r="AD279" s="609" t="s">
        <v>11</v>
      </c>
      <c r="AE279" s="610"/>
      <c r="AF279" s="610"/>
      <c r="AG279" s="610"/>
      <c r="AH279" s="610"/>
      <c r="AI279" s="610"/>
      <c r="AJ279" s="610"/>
      <c r="AK279" s="610"/>
      <c r="AL279" s="610"/>
      <c r="AM279" s="611"/>
    </row>
    <row r="280" spans="1:45" ht="30" customHeight="1" x14ac:dyDescent="0.4">
      <c r="D280" s="651" t="s">
        <v>298</v>
      </c>
      <c r="E280" s="652"/>
      <c r="F280" s="652"/>
      <c r="G280" s="652"/>
      <c r="H280" s="652"/>
      <c r="I280" s="653"/>
      <c r="J280" s="654"/>
      <c r="K280" s="652"/>
      <c r="L280" s="652"/>
      <c r="M280" s="652"/>
      <c r="N280" s="652"/>
      <c r="O280" s="652"/>
      <c r="P280" s="652"/>
      <c r="Q280" s="653"/>
      <c r="R280" s="655"/>
      <c r="S280" s="656"/>
      <c r="T280" s="656"/>
      <c r="U280" s="656"/>
      <c r="V280" s="656"/>
      <c r="W280" s="656"/>
      <c r="X280" s="656"/>
      <c r="Y280" s="656"/>
      <c r="Z280" s="657"/>
      <c r="AA280" s="658"/>
      <c r="AB280" s="659"/>
      <c r="AC280" s="660"/>
      <c r="AD280" s="661"/>
      <c r="AE280" s="662"/>
      <c r="AF280" s="662"/>
      <c r="AG280" s="662"/>
      <c r="AH280" s="662"/>
      <c r="AI280" s="662"/>
      <c r="AJ280" s="662"/>
      <c r="AK280" s="662"/>
      <c r="AL280" s="662"/>
      <c r="AM280" s="663"/>
    </row>
    <row r="281" spans="1:45" ht="30" customHeight="1" x14ac:dyDescent="0.4">
      <c r="D281" s="688" t="s">
        <v>12</v>
      </c>
      <c r="E281" s="604"/>
      <c r="F281" s="604"/>
      <c r="G281" s="604"/>
      <c r="H281" s="604"/>
      <c r="I281" s="605"/>
      <c r="J281" s="603"/>
      <c r="K281" s="604"/>
      <c r="L281" s="604"/>
      <c r="M281" s="604"/>
      <c r="N281" s="604"/>
      <c r="O281" s="604"/>
      <c r="P281" s="604"/>
      <c r="Q281" s="605"/>
      <c r="R281" s="606"/>
      <c r="S281" s="607"/>
      <c r="T281" s="607"/>
      <c r="U281" s="607"/>
      <c r="V281" s="607"/>
      <c r="W281" s="607"/>
      <c r="X281" s="607"/>
      <c r="Y281" s="607"/>
      <c r="Z281" s="608"/>
      <c r="AA281" s="606"/>
      <c r="AB281" s="607"/>
      <c r="AC281" s="608"/>
      <c r="AD281" s="672"/>
      <c r="AE281" s="673"/>
      <c r="AF281" s="673"/>
      <c r="AG281" s="673"/>
      <c r="AH281" s="673"/>
      <c r="AI281" s="673"/>
      <c r="AJ281" s="673"/>
      <c r="AK281" s="673"/>
      <c r="AL281" s="673"/>
      <c r="AM281" s="674"/>
    </row>
    <row r="282" spans="1:45" ht="30" customHeight="1" thickBot="1" x14ac:dyDescent="0.45">
      <c r="D282" s="675" t="s">
        <v>12</v>
      </c>
      <c r="E282" s="676"/>
      <c r="F282" s="676"/>
      <c r="G282" s="676"/>
      <c r="H282" s="676"/>
      <c r="I282" s="677"/>
      <c r="J282" s="678"/>
      <c r="K282" s="676"/>
      <c r="L282" s="676"/>
      <c r="M282" s="676"/>
      <c r="N282" s="676"/>
      <c r="O282" s="676"/>
      <c r="P282" s="676"/>
      <c r="Q282" s="677"/>
      <c r="R282" s="679"/>
      <c r="S282" s="680"/>
      <c r="T282" s="680"/>
      <c r="U282" s="680"/>
      <c r="V282" s="680"/>
      <c r="W282" s="680"/>
      <c r="X282" s="680"/>
      <c r="Y282" s="680"/>
      <c r="Z282" s="681"/>
      <c r="AA282" s="682"/>
      <c r="AB282" s="683"/>
      <c r="AC282" s="684"/>
      <c r="AD282" s="685"/>
      <c r="AE282" s="686"/>
      <c r="AF282" s="686"/>
      <c r="AG282" s="686"/>
      <c r="AH282" s="686"/>
      <c r="AI282" s="686"/>
      <c r="AJ282" s="686"/>
      <c r="AK282" s="686"/>
      <c r="AL282" s="686"/>
      <c r="AM282" s="687"/>
    </row>
    <row r="283" spans="1:45" ht="40.5" customHeight="1" x14ac:dyDescent="0.4">
      <c r="A283" s="115"/>
      <c r="B283" s="640" t="str">
        <f>U12組合せ!$B$1</f>
        <v>ＪＦＡ　Ｕ-１２サッカーリーグ2021（in栃木） 宇都宮地区リーグ戦（前期）</v>
      </c>
      <c r="C283" s="640"/>
      <c r="D283" s="640"/>
      <c r="E283" s="640"/>
      <c r="F283" s="640"/>
      <c r="G283" s="640"/>
      <c r="H283" s="640"/>
      <c r="I283" s="640"/>
      <c r="J283" s="640"/>
      <c r="K283" s="640"/>
      <c r="L283" s="640"/>
      <c r="M283" s="640"/>
      <c r="N283" s="640"/>
      <c r="O283" s="640"/>
      <c r="P283" s="640"/>
      <c r="Q283" s="640"/>
      <c r="R283" s="640"/>
      <c r="S283" s="640"/>
      <c r="T283" s="640"/>
      <c r="U283" s="640"/>
      <c r="V283" s="640"/>
      <c r="W283" s="640"/>
      <c r="X283" s="640"/>
      <c r="Y283" s="640"/>
      <c r="Z283" s="640"/>
      <c r="AA283" s="640"/>
      <c r="AB283" s="640"/>
      <c r="AC283" s="612" t="str">
        <f>"【"&amp;(U12組合せ!$D$3)&amp;"】"</f>
        <v>【Ａ ブロック】</v>
      </c>
      <c r="AD283" s="612"/>
      <c r="AE283" s="612"/>
      <c r="AF283" s="612"/>
      <c r="AG283" s="612"/>
      <c r="AH283" s="612"/>
      <c r="AI283" s="612"/>
      <c r="AJ283" s="612"/>
      <c r="AK283" s="612" t="str">
        <f>"第"&amp;(U12組合せ!$D$39)</f>
        <v>第４節</v>
      </c>
      <c r="AL283" s="612"/>
      <c r="AM283" s="612"/>
      <c r="AN283" s="612"/>
      <c r="AO283" s="612"/>
      <c r="AP283" s="597" t="s">
        <v>306</v>
      </c>
      <c r="AQ283" s="598"/>
    </row>
    <row r="284" spans="1:45" ht="14.25" customHeight="1" x14ac:dyDescent="0.4">
      <c r="A284" s="115"/>
      <c r="B284" s="640"/>
      <c r="C284" s="640"/>
      <c r="D284" s="640"/>
      <c r="E284" s="640"/>
      <c r="F284" s="640"/>
      <c r="G284" s="640"/>
      <c r="H284" s="640"/>
      <c r="I284" s="640"/>
      <c r="J284" s="640"/>
      <c r="K284" s="640"/>
      <c r="L284" s="640"/>
      <c r="M284" s="640"/>
      <c r="N284" s="640"/>
      <c r="O284" s="640"/>
      <c r="P284" s="640"/>
      <c r="Q284" s="640"/>
      <c r="R284" s="640"/>
      <c r="S284" s="640"/>
      <c r="T284" s="640"/>
      <c r="U284" s="640"/>
      <c r="V284" s="640"/>
      <c r="W284" s="640"/>
      <c r="X284" s="640"/>
      <c r="Y284" s="640"/>
      <c r="Z284" s="640"/>
      <c r="AA284" s="640"/>
      <c r="AB284" s="640"/>
      <c r="AC284" s="612"/>
      <c r="AD284" s="612"/>
      <c r="AE284" s="612"/>
      <c r="AF284" s="612"/>
      <c r="AG284" s="612"/>
      <c r="AH284" s="612"/>
      <c r="AI284" s="612"/>
      <c r="AJ284" s="612"/>
      <c r="AK284" s="612"/>
      <c r="AL284" s="612"/>
      <c r="AM284" s="612"/>
      <c r="AN284" s="612"/>
      <c r="AO284" s="612"/>
      <c r="AP284" s="598"/>
      <c r="AQ284" s="598"/>
    </row>
    <row r="285" spans="1:45" ht="27.75" customHeight="1" x14ac:dyDescent="0.4">
      <c r="C285" s="635" t="s">
        <v>1</v>
      </c>
      <c r="D285" s="635"/>
      <c r="E285" s="635"/>
      <c r="F285" s="635"/>
      <c r="G285" s="725" t="str">
        <f>U12対戦スケジュール!C80</f>
        <v>本郷北小 AM</v>
      </c>
      <c r="H285" s="726"/>
      <c r="I285" s="726"/>
      <c r="J285" s="726"/>
      <c r="K285" s="726"/>
      <c r="L285" s="726"/>
      <c r="M285" s="726"/>
      <c r="N285" s="726"/>
      <c r="O285" s="727"/>
      <c r="P285" s="635" t="s">
        <v>0</v>
      </c>
      <c r="Q285" s="635"/>
      <c r="R285" s="635"/>
      <c r="S285" s="635"/>
      <c r="T285" s="636" t="str">
        <f>AG288</f>
        <v>本郷北ＦＣ</v>
      </c>
      <c r="U285" s="636"/>
      <c r="V285" s="636"/>
      <c r="W285" s="636"/>
      <c r="X285" s="636"/>
      <c r="Y285" s="636"/>
      <c r="Z285" s="636"/>
      <c r="AA285" s="636"/>
      <c r="AB285" s="636"/>
      <c r="AC285" s="635" t="s">
        <v>2</v>
      </c>
      <c r="AD285" s="635"/>
      <c r="AE285" s="635"/>
      <c r="AF285" s="635"/>
      <c r="AG285" s="618">
        <f>U12組合せ!B39</f>
        <v>44353</v>
      </c>
      <c r="AH285" s="619"/>
      <c r="AI285" s="619"/>
      <c r="AJ285" s="619"/>
      <c r="AK285" s="619"/>
      <c r="AL285" s="619"/>
      <c r="AM285" s="620" t="str">
        <f>"（"&amp;TEXT(AG285,"aaa")&amp;"）"</f>
        <v>（日）</v>
      </c>
      <c r="AN285" s="620"/>
      <c r="AO285" s="621"/>
    </row>
    <row r="286" spans="1:45" ht="15" customHeight="1" x14ac:dyDescent="0.4">
      <c r="C286" s="96" t="str">
        <f>U12対戦スケジュール!C79</f>
        <v>A1579</v>
      </c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95"/>
      <c r="X286" s="95"/>
      <c r="Y286" s="95"/>
      <c r="Z286" s="95"/>
      <c r="AA286" s="95"/>
      <c r="AB286" s="95"/>
      <c r="AC286" s="95"/>
    </row>
    <row r="287" spans="1:45" ht="29.25" customHeight="1" x14ac:dyDescent="0.4">
      <c r="C287" s="636">
        <v>1</v>
      </c>
      <c r="D287" s="636"/>
      <c r="E287" s="709" t="str">
        <f>VLOOKUP(C287,U12組合せ!B$10:K$19,3,TRUE)</f>
        <v>富士見ＳＳＳ</v>
      </c>
      <c r="F287" s="709"/>
      <c r="G287" s="709"/>
      <c r="H287" s="709"/>
      <c r="I287" s="709"/>
      <c r="J287" s="709"/>
      <c r="K287" s="709"/>
      <c r="L287" s="709"/>
      <c r="M287" s="709"/>
      <c r="N287" s="709"/>
      <c r="O287" s="94"/>
      <c r="P287" s="94"/>
      <c r="Q287" s="636">
        <v>5</v>
      </c>
      <c r="R287" s="636"/>
      <c r="S287" s="709" t="str">
        <f>VLOOKUP(Q287,U12組合せ!B$10:K$19,3,TRUE)</f>
        <v>ブラッドレスＳＣ</v>
      </c>
      <c r="T287" s="709"/>
      <c r="U287" s="709"/>
      <c r="V287" s="709"/>
      <c r="W287" s="709"/>
      <c r="X287" s="709"/>
      <c r="Y287" s="709"/>
      <c r="Z287" s="709"/>
      <c r="AA287" s="709"/>
      <c r="AB287" s="709"/>
      <c r="AC287" s="92"/>
      <c r="AD287" s="93"/>
      <c r="AE287" s="637">
        <v>8</v>
      </c>
      <c r="AF287" s="637"/>
      <c r="AG287" s="584" t="str">
        <f>VLOOKUP(AE287,U12組合せ!B$10:'U12組合せ'!K$19,3,TRUE)</f>
        <v>国本ＪＳＣ</v>
      </c>
      <c r="AH287" s="584"/>
      <c r="AI287" s="584"/>
      <c r="AJ287" s="584"/>
      <c r="AK287" s="584"/>
      <c r="AL287" s="584"/>
      <c r="AM287" s="584"/>
      <c r="AN287" s="584"/>
      <c r="AO287" s="584"/>
      <c r="AP287" s="584"/>
      <c r="AS287" s="96">
        <f>294/2</f>
        <v>147</v>
      </c>
    </row>
    <row r="288" spans="1:45" ht="29.25" customHeight="1" x14ac:dyDescent="0.4">
      <c r="C288" s="637">
        <v>2</v>
      </c>
      <c r="D288" s="637"/>
      <c r="E288" s="584" t="str">
        <f>VLOOKUP(C288,U12組合せ!B$10:K$19,3,TRUE)</f>
        <v>石井ＦＣ</v>
      </c>
      <c r="F288" s="584"/>
      <c r="G288" s="584"/>
      <c r="H288" s="584"/>
      <c r="I288" s="584"/>
      <c r="J288" s="584"/>
      <c r="K288" s="584"/>
      <c r="L288" s="584"/>
      <c r="M288" s="584"/>
      <c r="N288" s="584"/>
      <c r="O288" s="94"/>
      <c r="P288" s="94"/>
      <c r="Q288" s="637">
        <v>6</v>
      </c>
      <c r="R288" s="637"/>
      <c r="S288" s="584" t="str">
        <f>VLOOKUP(Q288,U12組合せ!B$10:'U12組合せ'!K$19,3,TRUE)</f>
        <v>Ｓ４スペランツァ</v>
      </c>
      <c r="T288" s="584"/>
      <c r="U288" s="584"/>
      <c r="V288" s="584"/>
      <c r="W288" s="584"/>
      <c r="X288" s="584"/>
      <c r="Y288" s="584"/>
      <c r="Z288" s="584"/>
      <c r="AA288" s="584"/>
      <c r="AB288" s="584"/>
      <c r="AC288" s="92"/>
      <c r="AD288" s="93"/>
      <c r="AE288" s="636">
        <v>9</v>
      </c>
      <c r="AF288" s="636"/>
      <c r="AG288" s="709" t="str">
        <f>VLOOKUP(AE288,U12組合せ!B$10:'U12組合せ'!K$19,3,TRUE)</f>
        <v>本郷北ＦＣ</v>
      </c>
      <c r="AH288" s="709"/>
      <c r="AI288" s="709"/>
      <c r="AJ288" s="709"/>
      <c r="AK288" s="709"/>
      <c r="AL288" s="709"/>
      <c r="AM288" s="709"/>
      <c r="AN288" s="709"/>
      <c r="AO288" s="709"/>
      <c r="AP288" s="709"/>
      <c r="AS288" s="96">
        <v>82</v>
      </c>
    </row>
    <row r="289" spans="2:45" ht="29.25" customHeight="1" x14ac:dyDescent="0.4">
      <c r="C289" s="637">
        <v>3</v>
      </c>
      <c r="D289" s="637"/>
      <c r="E289" s="584" t="str">
        <f>VLOOKUP(C289,U12組合せ!B$10:K$19,3,TRUE)</f>
        <v>unionscU12</v>
      </c>
      <c r="F289" s="584"/>
      <c r="G289" s="584"/>
      <c r="H289" s="584"/>
      <c r="I289" s="584"/>
      <c r="J289" s="584"/>
      <c r="K289" s="584"/>
      <c r="L289" s="584"/>
      <c r="M289" s="584"/>
      <c r="N289" s="584"/>
      <c r="O289" s="94"/>
      <c r="P289" s="94"/>
      <c r="Q289" s="636">
        <v>7</v>
      </c>
      <c r="R289" s="636"/>
      <c r="S289" s="709" t="str">
        <f>VLOOKUP(Q289,U12組合せ!B$10:'U12組合せ'!K$19,3,TRUE)</f>
        <v>上河内ＪＳＣ</v>
      </c>
      <c r="T289" s="709"/>
      <c r="U289" s="709"/>
      <c r="V289" s="709"/>
      <c r="W289" s="709"/>
      <c r="X289" s="709"/>
      <c r="Y289" s="709"/>
      <c r="Z289" s="709"/>
      <c r="AA289" s="709"/>
      <c r="AB289" s="709"/>
      <c r="AC289" s="92"/>
      <c r="AD289" s="93"/>
      <c r="AE289" s="637">
        <v>10</v>
      </c>
      <c r="AF289" s="637"/>
      <c r="AG289" s="584" t="str">
        <f>VLOOKUP(AE289,U12組合せ!B$10:'U12組合せ'!K$19,3,TRUE)</f>
        <v>FCアネーロ・U-12</v>
      </c>
      <c r="AH289" s="584"/>
      <c r="AI289" s="584"/>
      <c r="AJ289" s="584"/>
      <c r="AK289" s="584"/>
      <c r="AL289" s="584"/>
      <c r="AM289" s="584"/>
      <c r="AN289" s="584"/>
      <c r="AO289" s="584"/>
      <c r="AP289" s="584"/>
      <c r="AS289" s="96">
        <f>AS287-AS288</f>
        <v>65</v>
      </c>
    </row>
    <row r="290" spans="2:45" ht="29.25" customHeight="1" x14ac:dyDescent="0.4">
      <c r="B290" s="102"/>
      <c r="C290" s="637">
        <v>4</v>
      </c>
      <c r="D290" s="637"/>
      <c r="E290" s="584" t="str">
        <f>VLOOKUP(C290,U12組合せ!B$10:K$19,3,TRUE)</f>
        <v>ＳＵＧＡＯ・ＳＣ</v>
      </c>
      <c r="F290" s="584"/>
      <c r="G290" s="584"/>
      <c r="H290" s="584"/>
      <c r="I290" s="584"/>
      <c r="J290" s="584"/>
      <c r="K290" s="584"/>
      <c r="L290" s="584"/>
      <c r="M290" s="584"/>
      <c r="N290" s="584"/>
      <c r="O290" s="94"/>
      <c r="P290" s="94"/>
      <c r="Q290" s="93"/>
      <c r="R290" s="93"/>
      <c r="S290" s="93"/>
      <c r="T290" s="93"/>
      <c r="U290" s="93"/>
      <c r="V290" s="93"/>
      <c r="W290" s="93"/>
      <c r="X290" s="93"/>
      <c r="Y290" s="93"/>
      <c r="Z290" s="93"/>
      <c r="AA290" s="93"/>
      <c r="AB290" s="93"/>
      <c r="AC290" s="92"/>
      <c r="AD290" s="94"/>
      <c r="AE290" s="94"/>
      <c r="AF290" s="94"/>
      <c r="AG290" s="94"/>
      <c r="AH290" s="93"/>
      <c r="AI290" s="93"/>
      <c r="AJ290" s="93"/>
      <c r="AK290" s="93"/>
      <c r="AL290" s="93"/>
      <c r="AM290" s="93"/>
      <c r="AN290" s="93"/>
      <c r="AO290" s="93"/>
      <c r="AP290" s="93"/>
    </row>
    <row r="291" spans="2:45" ht="8.25" customHeight="1" x14ac:dyDescent="0.4">
      <c r="O291" s="102"/>
      <c r="P291" s="102"/>
      <c r="AC291" s="95"/>
    </row>
    <row r="292" spans="2:45" ht="8.25" customHeight="1" x14ac:dyDescent="0.4">
      <c r="C292" s="117"/>
      <c r="D292" s="118"/>
      <c r="E292" s="118"/>
      <c r="F292" s="118"/>
      <c r="G292" s="118"/>
      <c r="H292" s="118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18"/>
      <c r="U292" s="102"/>
      <c r="V292" s="118"/>
      <c r="W292" s="102"/>
      <c r="X292" s="118"/>
      <c r="Y292" s="102"/>
      <c r="Z292" s="118"/>
      <c r="AA292" s="102"/>
      <c r="AB292" s="118"/>
      <c r="AC292" s="118"/>
    </row>
    <row r="293" spans="2:45" ht="21" customHeight="1" x14ac:dyDescent="0.4">
      <c r="B293" s="118" t="str">
        <f ca="1">IF(B295="①","【監督会議 8：20～】","【監督会議 12：50～】")</f>
        <v>【監督会議 8：20～】</v>
      </c>
      <c r="I293" s="96" t="s">
        <v>330</v>
      </c>
    </row>
    <row r="294" spans="2:45" ht="20.25" customHeight="1" x14ac:dyDescent="0.4">
      <c r="B294" s="97"/>
      <c r="C294" s="711" t="s">
        <v>3</v>
      </c>
      <c r="D294" s="711"/>
      <c r="E294" s="711"/>
      <c r="F294" s="712" t="s">
        <v>4</v>
      </c>
      <c r="G294" s="712"/>
      <c r="H294" s="712"/>
      <c r="I294" s="712"/>
      <c r="J294" s="711" t="s">
        <v>5</v>
      </c>
      <c r="K294" s="713"/>
      <c r="L294" s="713"/>
      <c r="M294" s="713"/>
      <c r="N294" s="713"/>
      <c r="O294" s="713"/>
      <c r="P294" s="713"/>
      <c r="Q294" s="711" t="s">
        <v>32</v>
      </c>
      <c r="R294" s="711"/>
      <c r="S294" s="711"/>
      <c r="T294" s="711"/>
      <c r="U294" s="711"/>
      <c r="V294" s="711"/>
      <c r="W294" s="711"/>
      <c r="X294" s="711" t="s">
        <v>5</v>
      </c>
      <c r="Y294" s="713"/>
      <c r="Z294" s="713"/>
      <c r="AA294" s="713"/>
      <c r="AB294" s="713"/>
      <c r="AC294" s="713"/>
      <c r="AD294" s="713"/>
      <c r="AE294" s="712" t="s">
        <v>4</v>
      </c>
      <c r="AF294" s="712"/>
      <c r="AG294" s="712"/>
      <c r="AH294" s="712"/>
      <c r="AI294" s="711" t="s">
        <v>6</v>
      </c>
      <c r="AJ294" s="711"/>
      <c r="AK294" s="713"/>
      <c r="AL294" s="713"/>
      <c r="AM294" s="713"/>
      <c r="AN294" s="713"/>
      <c r="AO294" s="713"/>
      <c r="AP294" s="713"/>
    </row>
    <row r="295" spans="2:45" ht="20.100000000000001" customHeight="1" x14ac:dyDescent="0.4">
      <c r="B295" s="644" t="str">
        <f ca="1">DBCS(INDIRECT("U12対戦スケジュール!A"&amp;(ROW()-1)/2-65))</f>
        <v>①</v>
      </c>
      <c r="C295" s="645">
        <f ca="1">INDIRECT("U12対戦スケジュール!B"&amp;(ROW()-1)/2-65)</f>
        <v>0.375</v>
      </c>
      <c r="D295" s="646"/>
      <c r="E295" s="647"/>
      <c r="F295" s="583"/>
      <c r="G295" s="583"/>
      <c r="H295" s="583"/>
      <c r="I295" s="583"/>
      <c r="J295" s="636" t="str">
        <f ca="1">VLOOKUP(AR295,U12組合せ!B$10:E$19,3,TRUE)</f>
        <v>富士見ＳＳＳ</v>
      </c>
      <c r="K295" s="637"/>
      <c r="L295" s="637"/>
      <c r="M295" s="637"/>
      <c r="N295" s="637"/>
      <c r="O295" s="637"/>
      <c r="P295" s="637"/>
      <c r="Q295" s="635" t="str">
        <f>IF(OR(S295="",S296=""),"",S295+S296)</f>
        <v/>
      </c>
      <c r="R295" s="635"/>
      <c r="S295" s="98"/>
      <c r="T295" s="99" t="s">
        <v>7</v>
      </c>
      <c r="U295" s="98"/>
      <c r="V295" s="635" t="str">
        <f>IF(OR(U295="",U296=""),"",U295+U296)</f>
        <v/>
      </c>
      <c r="W295" s="635"/>
      <c r="X295" s="636" t="str">
        <f ca="1">VLOOKUP(AS295,U12組合せ!B$10:E$19,3,TRUE)</f>
        <v>上河内ＪＳＣ</v>
      </c>
      <c r="Y295" s="637"/>
      <c r="Z295" s="637"/>
      <c r="AA295" s="637"/>
      <c r="AB295" s="637"/>
      <c r="AC295" s="637"/>
      <c r="AD295" s="637"/>
      <c r="AE295" s="583"/>
      <c r="AF295" s="583"/>
      <c r="AG295" s="583"/>
      <c r="AH295" s="583"/>
      <c r="AI295" s="634" t="str">
        <f ca="1">DBCS(INDIRECT("U12対戦スケジュール!F"&amp;(ROW()-1)/2-65))</f>
        <v>５／９／９／５</v>
      </c>
      <c r="AJ295" s="583"/>
      <c r="AK295" s="583"/>
      <c r="AL295" s="583"/>
      <c r="AM295" s="583"/>
      <c r="AN295" s="583"/>
      <c r="AO295" s="583"/>
      <c r="AP295" s="583"/>
      <c r="AR295" s="119">
        <f ca="1">INDIRECT("U12対戦スケジュール!ｃ"&amp;(ROW()-1)/2-65)</f>
        <v>1</v>
      </c>
      <c r="AS295" s="119">
        <f ca="1">INDIRECT("U12対戦スケジュール!E"&amp;(ROW()-1)/2-65)</f>
        <v>7</v>
      </c>
    </row>
    <row r="296" spans="2:45" ht="20.100000000000001" customHeight="1" x14ac:dyDescent="0.4">
      <c r="B296" s="644"/>
      <c r="C296" s="648"/>
      <c r="D296" s="649"/>
      <c r="E296" s="650"/>
      <c r="F296" s="583"/>
      <c r="G296" s="583"/>
      <c r="H296" s="583"/>
      <c r="I296" s="583"/>
      <c r="J296" s="637"/>
      <c r="K296" s="637"/>
      <c r="L296" s="637"/>
      <c r="M296" s="637"/>
      <c r="N296" s="637"/>
      <c r="O296" s="637"/>
      <c r="P296" s="637"/>
      <c r="Q296" s="635"/>
      <c r="R296" s="635"/>
      <c r="S296" s="98"/>
      <c r="T296" s="99" t="s">
        <v>7</v>
      </c>
      <c r="U296" s="98"/>
      <c r="V296" s="635"/>
      <c r="W296" s="635"/>
      <c r="X296" s="637"/>
      <c r="Y296" s="637"/>
      <c r="Z296" s="637"/>
      <c r="AA296" s="637"/>
      <c r="AB296" s="637"/>
      <c r="AC296" s="637"/>
      <c r="AD296" s="637"/>
      <c r="AE296" s="583"/>
      <c r="AF296" s="583"/>
      <c r="AG296" s="583"/>
      <c r="AH296" s="583"/>
      <c r="AI296" s="583"/>
      <c r="AJ296" s="583"/>
      <c r="AK296" s="583"/>
      <c r="AL296" s="583"/>
      <c r="AM296" s="583"/>
      <c r="AN296" s="583"/>
      <c r="AO296" s="583"/>
      <c r="AP296" s="583"/>
      <c r="AR296" s="119"/>
      <c r="AS296" s="119"/>
    </row>
    <row r="297" spans="2:45" ht="20.100000000000001" customHeight="1" x14ac:dyDescent="0.4">
      <c r="B297" s="644" t="str">
        <f ca="1">DBCS(INDIRECT("U12対戦スケジュール!A"&amp;(ROW()-1)/2-65))</f>
        <v>②</v>
      </c>
      <c r="C297" s="645">
        <f ca="1">INDIRECT("U12対戦スケジュール!B"&amp;(ROW()-1)/2-65)</f>
        <v>0.41699999999999998</v>
      </c>
      <c r="D297" s="646"/>
      <c r="E297" s="647"/>
      <c r="F297" s="583"/>
      <c r="G297" s="583"/>
      <c r="H297" s="583"/>
      <c r="I297" s="583"/>
      <c r="J297" s="636" t="str">
        <f ca="1">VLOOKUP(AR297,U12組合せ!B$10:E$19,3,TRUE)</f>
        <v>本郷北ＦＣ</v>
      </c>
      <c r="K297" s="637"/>
      <c r="L297" s="637"/>
      <c r="M297" s="637"/>
      <c r="N297" s="637"/>
      <c r="O297" s="637"/>
      <c r="P297" s="637"/>
      <c r="Q297" s="635" t="str">
        <f>IF(OR(S297="",S298=""),"",S297+S298)</f>
        <v/>
      </c>
      <c r="R297" s="635"/>
      <c r="S297" s="98"/>
      <c r="T297" s="99" t="s">
        <v>7</v>
      </c>
      <c r="U297" s="98"/>
      <c r="V297" s="635" t="str">
        <f>IF(OR(U297="",U298=""),"",U297+U298)</f>
        <v/>
      </c>
      <c r="W297" s="635"/>
      <c r="X297" s="636" t="str">
        <f ca="1">VLOOKUP(AS297,U12組合せ!B$10:E$19,3,TRUE)</f>
        <v>上河内ＪＳＣ</v>
      </c>
      <c r="Y297" s="637"/>
      <c r="Z297" s="637"/>
      <c r="AA297" s="637"/>
      <c r="AB297" s="637"/>
      <c r="AC297" s="637"/>
      <c r="AD297" s="637"/>
      <c r="AE297" s="583"/>
      <c r="AF297" s="583"/>
      <c r="AG297" s="583"/>
      <c r="AH297" s="583"/>
      <c r="AI297" s="634" t="str">
        <f ca="1">DBCS(INDIRECT("U12対戦スケジュール!F"&amp;(ROW()-1)/2-65))</f>
        <v>１／５／５／１</v>
      </c>
      <c r="AJ297" s="583"/>
      <c r="AK297" s="583"/>
      <c r="AL297" s="583"/>
      <c r="AM297" s="583"/>
      <c r="AN297" s="583"/>
      <c r="AO297" s="583"/>
      <c r="AP297" s="583"/>
      <c r="AR297" s="119">
        <f ca="1">INDIRECT("U12対戦スケジュール!ｃ"&amp;(ROW()-1)/2-65)</f>
        <v>9</v>
      </c>
      <c r="AS297" s="119">
        <f ca="1">INDIRECT("U12対戦スケジュール!E"&amp;(ROW()-1)/2-65)</f>
        <v>7</v>
      </c>
    </row>
    <row r="298" spans="2:45" ht="20.100000000000001" customHeight="1" x14ac:dyDescent="0.4">
      <c r="B298" s="644"/>
      <c r="C298" s="648"/>
      <c r="D298" s="649"/>
      <c r="E298" s="650"/>
      <c r="F298" s="583"/>
      <c r="G298" s="583"/>
      <c r="H298" s="583"/>
      <c r="I298" s="583"/>
      <c r="J298" s="637"/>
      <c r="K298" s="637"/>
      <c r="L298" s="637"/>
      <c r="M298" s="637"/>
      <c r="N298" s="637"/>
      <c r="O298" s="637"/>
      <c r="P298" s="637"/>
      <c r="Q298" s="635"/>
      <c r="R298" s="635"/>
      <c r="S298" s="98"/>
      <c r="T298" s="99" t="s">
        <v>7</v>
      </c>
      <c r="U298" s="98"/>
      <c r="V298" s="635"/>
      <c r="W298" s="635"/>
      <c r="X298" s="637"/>
      <c r="Y298" s="637"/>
      <c r="Z298" s="637"/>
      <c r="AA298" s="637"/>
      <c r="AB298" s="637"/>
      <c r="AC298" s="637"/>
      <c r="AD298" s="637"/>
      <c r="AE298" s="583"/>
      <c r="AF298" s="583"/>
      <c r="AG298" s="583"/>
      <c r="AH298" s="583"/>
      <c r="AI298" s="583"/>
      <c r="AJ298" s="583"/>
      <c r="AK298" s="583"/>
      <c r="AL298" s="583"/>
      <c r="AM298" s="583"/>
      <c r="AN298" s="583"/>
      <c r="AO298" s="583"/>
      <c r="AP298" s="583"/>
      <c r="AR298" s="119"/>
      <c r="AS298" s="119"/>
    </row>
    <row r="299" spans="2:45" ht="20.100000000000001" customHeight="1" x14ac:dyDescent="0.4">
      <c r="B299" s="644" t="str">
        <f ca="1">DBCS(INDIRECT("U12対戦スケジュール!A"&amp;(ROW()-1)/2-65))</f>
        <v>③</v>
      </c>
      <c r="C299" s="645">
        <f ca="1">INDIRECT("U12対戦スケジュール!B"&amp;(ROW()-1)/2-65)</f>
        <v>0.45899999999999996</v>
      </c>
      <c r="D299" s="646"/>
      <c r="E299" s="647"/>
      <c r="F299" s="583"/>
      <c r="G299" s="583"/>
      <c r="H299" s="583"/>
      <c r="I299" s="583"/>
      <c r="J299" s="636" t="str">
        <f ca="1">VLOOKUP(AR299,U12組合せ!B$10:E$19,3,TRUE)</f>
        <v>富士見ＳＳＳ</v>
      </c>
      <c r="K299" s="637"/>
      <c r="L299" s="637"/>
      <c r="M299" s="637"/>
      <c r="N299" s="637"/>
      <c r="O299" s="637"/>
      <c r="P299" s="637"/>
      <c r="Q299" s="635" t="str">
        <f>IF(OR(S299="",S300=""),"",S299+S300)</f>
        <v/>
      </c>
      <c r="R299" s="635"/>
      <c r="S299" s="98"/>
      <c r="T299" s="99" t="s">
        <v>7</v>
      </c>
      <c r="U299" s="98"/>
      <c r="V299" s="635" t="str">
        <f>IF(OR(U299="",U300=""),"",U299+U300)</f>
        <v/>
      </c>
      <c r="W299" s="635"/>
      <c r="X299" s="636" t="str">
        <f ca="1">VLOOKUP(AS299,U12組合せ!B$10:E$19,3,TRUE)</f>
        <v>ブラッドレスＳＣ</v>
      </c>
      <c r="Y299" s="637"/>
      <c r="Z299" s="637"/>
      <c r="AA299" s="637"/>
      <c r="AB299" s="637"/>
      <c r="AC299" s="637"/>
      <c r="AD299" s="637"/>
      <c r="AE299" s="583"/>
      <c r="AF299" s="583"/>
      <c r="AG299" s="583"/>
      <c r="AH299" s="583"/>
      <c r="AI299" s="634" t="str">
        <f ca="1">DBCS(INDIRECT("U12対戦スケジュール!F"&amp;(ROW()-1)/2-65))</f>
        <v>９／７／７／９</v>
      </c>
      <c r="AJ299" s="583"/>
      <c r="AK299" s="583"/>
      <c r="AL299" s="583"/>
      <c r="AM299" s="583"/>
      <c r="AN299" s="583"/>
      <c r="AO299" s="583"/>
      <c r="AP299" s="583"/>
      <c r="AR299" s="119">
        <f ca="1">INDIRECT("U12対戦スケジュール!ｃ"&amp;(ROW()-1)/2-65)</f>
        <v>1</v>
      </c>
      <c r="AS299" s="119">
        <f ca="1">INDIRECT("U12対戦スケジュール!E"&amp;(ROW()-1)/2-65)</f>
        <v>5</v>
      </c>
    </row>
    <row r="300" spans="2:45" ht="20.100000000000001" customHeight="1" x14ac:dyDescent="0.4">
      <c r="B300" s="644"/>
      <c r="C300" s="648"/>
      <c r="D300" s="649"/>
      <c r="E300" s="650"/>
      <c r="F300" s="583"/>
      <c r="G300" s="583"/>
      <c r="H300" s="583"/>
      <c r="I300" s="583"/>
      <c r="J300" s="637"/>
      <c r="K300" s="637"/>
      <c r="L300" s="637"/>
      <c r="M300" s="637"/>
      <c r="N300" s="637"/>
      <c r="O300" s="637"/>
      <c r="P300" s="637"/>
      <c r="Q300" s="635"/>
      <c r="R300" s="635"/>
      <c r="S300" s="98"/>
      <c r="T300" s="99" t="s">
        <v>7</v>
      </c>
      <c r="U300" s="98"/>
      <c r="V300" s="635"/>
      <c r="W300" s="635"/>
      <c r="X300" s="637"/>
      <c r="Y300" s="637"/>
      <c r="Z300" s="637"/>
      <c r="AA300" s="637"/>
      <c r="AB300" s="637"/>
      <c r="AC300" s="637"/>
      <c r="AD300" s="637"/>
      <c r="AE300" s="583"/>
      <c r="AF300" s="583"/>
      <c r="AG300" s="583"/>
      <c r="AH300" s="583"/>
      <c r="AI300" s="583"/>
      <c r="AJ300" s="583"/>
      <c r="AK300" s="583"/>
      <c r="AL300" s="583"/>
      <c r="AM300" s="583"/>
      <c r="AN300" s="583"/>
      <c r="AO300" s="583"/>
      <c r="AP300" s="583"/>
      <c r="AR300" s="119"/>
      <c r="AS300" s="119"/>
    </row>
    <row r="301" spans="2:45" ht="20.100000000000001" customHeight="1" x14ac:dyDescent="0.4">
      <c r="B301" s="644" t="str">
        <f ca="1">DBCS(INDIRECT("U12対戦スケジュール!A"&amp;(ROW()-1)/2-65))</f>
        <v/>
      </c>
      <c r="C301" s="645"/>
      <c r="D301" s="646"/>
      <c r="E301" s="647"/>
      <c r="F301" s="583"/>
      <c r="G301" s="583"/>
      <c r="H301" s="583"/>
      <c r="I301" s="583"/>
      <c r="J301" s="636"/>
      <c r="K301" s="637"/>
      <c r="L301" s="637"/>
      <c r="M301" s="637"/>
      <c r="N301" s="637"/>
      <c r="O301" s="637"/>
      <c r="P301" s="637"/>
      <c r="Q301" s="635"/>
      <c r="R301" s="635"/>
      <c r="S301" s="98"/>
      <c r="T301" s="99"/>
      <c r="U301" s="98"/>
      <c r="V301" s="635"/>
      <c r="W301" s="635"/>
      <c r="X301" s="636"/>
      <c r="Y301" s="637"/>
      <c r="Z301" s="637"/>
      <c r="AA301" s="637"/>
      <c r="AB301" s="637"/>
      <c r="AC301" s="637"/>
      <c r="AD301" s="637"/>
      <c r="AE301" s="583"/>
      <c r="AF301" s="583"/>
      <c r="AG301" s="583"/>
      <c r="AH301" s="583"/>
      <c r="AI301" s="634"/>
      <c r="AJ301" s="583"/>
      <c r="AK301" s="583"/>
      <c r="AL301" s="583"/>
      <c r="AM301" s="583"/>
      <c r="AN301" s="583"/>
      <c r="AO301" s="583"/>
      <c r="AP301" s="583"/>
      <c r="AR301" s="119"/>
      <c r="AS301" s="119"/>
    </row>
    <row r="302" spans="2:45" ht="20.100000000000001" customHeight="1" x14ac:dyDescent="0.4">
      <c r="B302" s="644"/>
      <c r="C302" s="648"/>
      <c r="D302" s="649"/>
      <c r="E302" s="650"/>
      <c r="F302" s="583"/>
      <c r="G302" s="583"/>
      <c r="H302" s="583"/>
      <c r="I302" s="583"/>
      <c r="J302" s="637"/>
      <c r="K302" s="637"/>
      <c r="L302" s="637"/>
      <c r="M302" s="637"/>
      <c r="N302" s="637"/>
      <c r="O302" s="637"/>
      <c r="P302" s="637"/>
      <c r="Q302" s="635"/>
      <c r="R302" s="635"/>
      <c r="S302" s="98"/>
      <c r="T302" s="99"/>
      <c r="U302" s="98"/>
      <c r="V302" s="635"/>
      <c r="W302" s="635"/>
      <c r="X302" s="637"/>
      <c r="Y302" s="637"/>
      <c r="Z302" s="637"/>
      <c r="AA302" s="637"/>
      <c r="AB302" s="637"/>
      <c r="AC302" s="637"/>
      <c r="AD302" s="637"/>
      <c r="AE302" s="583"/>
      <c r="AF302" s="583"/>
      <c r="AG302" s="583"/>
      <c r="AH302" s="583"/>
      <c r="AI302" s="583"/>
      <c r="AJ302" s="583"/>
      <c r="AK302" s="583"/>
      <c r="AL302" s="583"/>
      <c r="AM302" s="583"/>
      <c r="AN302" s="583"/>
      <c r="AO302" s="583"/>
      <c r="AP302" s="583"/>
      <c r="AR302" s="119"/>
      <c r="AS302" s="119"/>
    </row>
    <row r="303" spans="2:45" ht="20.100000000000001" customHeight="1" x14ac:dyDescent="0.4">
      <c r="B303" s="644" t="str">
        <f ca="1">DBCS(INDIRECT("U12対戦スケジュール!A"&amp;(ROW()-1)/2+2))</f>
        <v/>
      </c>
      <c r="C303" s="723"/>
      <c r="D303" s="723"/>
      <c r="E303" s="723"/>
      <c r="F303" s="583"/>
      <c r="G303" s="583"/>
      <c r="H303" s="583"/>
      <c r="I303" s="583"/>
      <c r="J303" s="721"/>
      <c r="K303" s="722"/>
      <c r="L303" s="722"/>
      <c r="M303" s="722"/>
      <c r="N303" s="722"/>
      <c r="O303" s="722"/>
      <c r="P303" s="722"/>
      <c r="Q303" s="634"/>
      <c r="R303" s="634"/>
      <c r="S303" s="100"/>
      <c r="T303" s="101"/>
      <c r="U303" s="100"/>
      <c r="V303" s="634"/>
      <c r="W303" s="634"/>
      <c r="X303" s="721"/>
      <c r="Y303" s="722"/>
      <c r="Z303" s="722"/>
      <c r="AA303" s="722"/>
      <c r="AB303" s="722"/>
      <c r="AC303" s="722"/>
      <c r="AD303" s="722"/>
      <c r="AE303" s="583"/>
      <c r="AF303" s="583"/>
      <c r="AG303" s="583"/>
      <c r="AH303" s="583"/>
      <c r="AI303" s="634"/>
      <c r="AJ303" s="583"/>
      <c r="AK303" s="583"/>
      <c r="AL303" s="583"/>
      <c r="AM303" s="583"/>
      <c r="AN303" s="583"/>
      <c r="AO303" s="583"/>
      <c r="AP303" s="583"/>
      <c r="AR303" s="119"/>
      <c r="AS303" s="119"/>
    </row>
    <row r="304" spans="2:45" ht="20.100000000000001" customHeight="1" x14ac:dyDescent="0.4">
      <c r="B304" s="644"/>
      <c r="C304" s="723"/>
      <c r="D304" s="723"/>
      <c r="E304" s="723"/>
      <c r="F304" s="583"/>
      <c r="G304" s="583"/>
      <c r="H304" s="583"/>
      <c r="I304" s="583"/>
      <c r="J304" s="722"/>
      <c r="K304" s="722"/>
      <c r="L304" s="722"/>
      <c r="M304" s="722"/>
      <c r="N304" s="722"/>
      <c r="O304" s="722"/>
      <c r="P304" s="722"/>
      <c r="Q304" s="634"/>
      <c r="R304" s="634"/>
      <c r="S304" s="100"/>
      <c r="T304" s="101"/>
      <c r="U304" s="100"/>
      <c r="V304" s="634"/>
      <c r="W304" s="634"/>
      <c r="X304" s="722"/>
      <c r="Y304" s="722"/>
      <c r="Z304" s="722"/>
      <c r="AA304" s="722"/>
      <c r="AB304" s="722"/>
      <c r="AC304" s="722"/>
      <c r="AD304" s="722"/>
      <c r="AE304" s="583"/>
      <c r="AF304" s="583"/>
      <c r="AG304" s="583"/>
      <c r="AH304" s="583"/>
      <c r="AI304" s="583"/>
      <c r="AJ304" s="583"/>
      <c r="AK304" s="583"/>
      <c r="AL304" s="583"/>
      <c r="AM304" s="583"/>
      <c r="AN304" s="583"/>
      <c r="AO304" s="583"/>
      <c r="AP304" s="583"/>
      <c r="AR304" s="119"/>
      <c r="AS304" s="119"/>
    </row>
    <row r="305" spans="1:45" ht="20.100000000000001" customHeight="1" x14ac:dyDescent="0.4">
      <c r="B305" s="644"/>
      <c r="C305" s="723"/>
      <c r="D305" s="723"/>
      <c r="E305" s="723"/>
      <c r="F305" s="583"/>
      <c r="G305" s="583"/>
      <c r="H305" s="583"/>
      <c r="I305" s="583"/>
      <c r="J305" s="721"/>
      <c r="K305" s="722"/>
      <c r="L305" s="722"/>
      <c r="M305" s="722"/>
      <c r="N305" s="722"/>
      <c r="O305" s="722"/>
      <c r="P305" s="722"/>
      <c r="Q305" s="634"/>
      <c r="R305" s="634"/>
      <c r="S305" s="100"/>
      <c r="T305" s="101"/>
      <c r="U305" s="100"/>
      <c r="V305" s="634"/>
      <c r="W305" s="634"/>
      <c r="X305" s="721"/>
      <c r="Y305" s="722"/>
      <c r="Z305" s="722"/>
      <c r="AA305" s="722"/>
      <c r="AB305" s="722"/>
      <c r="AC305" s="722"/>
      <c r="AD305" s="722"/>
      <c r="AE305" s="583"/>
      <c r="AF305" s="583"/>
      <c r="AG305" s="583"/>
      <c r="AH305" s="583"/>
      <c r="AI305" s="634"/>
      <c r="AJ305" s="583"/>
      <c r="AK305" s="583"/>
      <c r="AL305" s="583"/>
      <c r="AM305" s="583"/>
      <c r="AN305" s="583"/>
      <c r="AO305" s="583"/>
      <c r="AP305" s="583"/>
      <c r="AR305" s="119"/>
      <c r="AS305" s="119"/>
    </row>
    <row r="306" spans="1:45" ht="20.100000000000001" customHeight="1" x14ac:dyDescent="0.4">
      <c r="B306" s="644"/>
      <c r="C306" s="723"/>
      <c r="D306" s="723"/>
      <c r="E306" s="723"/>
      <c r="F306" s="583"/>
      <c r="G306" s="583"/>
      <c r="H306" s="583"/>
      <c r="I306" s="583"/>
      <c r="J306" s="722"/>
      <c r="K306" s="722"/>
      <c r="L306" s="722"/>
      <c r="M306" s="722"/>
      <c r="N306" s="722"/>
      <c r="O306" s="722"/>
      <c r="P306" s="722"/>
      <c r="Q306" s="634"/>
      <c r="R306" s="634"/>
      <c r="S306" s="100"/>
      <c r="T306" s="101"/>
      <c r="U306" s="100"/>
      <c r="V306" s="634"/>
      <c r="W306" s="634"/>
      <c r="X306" s="722"/>
      <c r="Y306" s="722"/>
      <c r="Z306" s="722"/>
      <c r="AA306" s="722"/>
      <c r="AB306" s="722"/>
      <c r="AC306" s="722"/>
      <c r="AD306" s="722"/>
      <c r="AE306" s="583"/>
      <c r="AF306" s="583"/>
      <c r="AG306" s="583"/>
      <c r="AH306" s="583"/>
      <c r="AI306" s="583"/>
      <c r="AJ306" s="583"/>
      <c r="AK306" s="583"/>
      <c r="AL306" s="583"/>
      <c r="AM306" s="583"/>
      <c r="AN306" s="583"/>
      <c r="AO306" s="583"/>
      <c r="AP306" s="583"/>
      <c r="AR306" s="119"/>
      <c r="AS306" s="119"/>
    </row>
    <row r="307" spans="1:45" ht="20.100000000000001" customHeight="1" x14ac:dyDescent="0.4">
      <c r="B307" s="644"/>
      <c r="C307" s="723"/>
      <c r="D307" s="723"/>
      <c r="E307" s="723"/>
      <c r="F307" s="583"/>
      <c r="G307" s="583"/>
      <c r="H307" s="583"/>
      <c r="I307" s="583"/>
      <c r="J307" s="721"/>
      <c r="K307" s="722"/>
      <c r="L307" s="722"/>
      <c r="M307" s="722"/>
      <c r="N307" s="722"/>
      <c r="O307" s="722"/>
      <c r="P307" s="722"/>
      <c r="Q307" s="634"/>
      <c r="R307" s="634"/>
      <c r="S307" s="100"/>
      <c r="T307" s="101"/>
      <c r="U307" s="100"/>
      <c r="V307" s="634"/>
      <c r="W307" s="634"/>
      <c r="X307" s="721"/>
      <c r="Y307" s="722"/>
      <c r="Z307" s="722"/>
      <c r="AA307" s="722"/>
      <c r="AB307" s="722"/>
      <c r="AC307" s="722"/>
      <c r="AD307" s="722"/>
      <c r="AE307" s="583"/>
      <c r="AF307" s="583"/>
      <c r="AG307" s="583"/>
      <c r="AH307" s="583"/>
      <c r="AI307" s="634"/>
      <c r="AJ307" s="583"/>
      <c r="AK307" s="583"/>
      <c r="AL307" s="583"/>
      <c r="AM307" s="583"/>
      <c r="AN307" s="583"/>
      <c r="AO307" s="583"/>
      <c r="AP307" s="583"/>
      <c r="AR307" s="119"/>
      <c r="AS307" s="119"/>
    </row>
    <row r="308" spans="1:45" ht="20.100000000000001" customHeight="1" x14ac:dyDescent="0.4">
      <c r="B308" s="644"/>
      <c r="C308" s="723"/>
      <c r="D308" s="723"/>
      <c r="E308" s="723"/>
      <c r="F308" s="583"/>
      <c r="G308" s="583"/>
      <c r="H308" s="583"/>
      <c r="I308" s="583"/>
      <c r="J308" s="722"/>
      <c r="K308" s="722"/>
      <c r="L308" s="722"/>
      <c r="M308" s="722"/>
      <c r="N308" s="722"/>
      <c r="O308" s="722"/>
      <c r="P308" s="722"/>
      <c r="Q308" s="634"/>
      <c r="R308" s="634"/>
      <c r="S308" s="100"/>
      <c r="T308" s="101"/>
      <c r="U308" s="100"/>
      <c r="V308" s="634"/>
      <c r="W308" s="634"/>
      <c r="X308" s="722"/>
      <c r="Y308" s="722"/>
      <c r="Z308" s="722"/>
      <c r="AA308" s="722"/>
      <c r="AB308" s="722"/>
      <c r="AC308" s="722"/>
      <c r="AD308" s="722"/>
      <c r="AE308" s="583"/>
      <c r="AF308" s="583"/>
      <c r="AG308" s="583"/>
      <c r="AH308" s="583"/>
      <c r="AI308" s="583"/>
      <c r="AJ308" s="583"/>
      <c r="AK308" s="583"/>
      <c r="AL308" s="583"/>
      <c r="AM308" s="583"/>
      <c r="AN308" s="583"/>
      <c r="AO308" s="583"/>
      <c r="AP308" s="583"/>
    </row>
    <row r="309" spans="1:45" ht="15.75" customHeight="1" thickBot="1" x14ac:dyDescent="0.45">
      <c r="A309" s="102"/>
      <c r="B309" s="103"/>
      <c r="C309" s="104"/>
      <c r="D309" s="104"/>
      <c r="E309" s="104"/>
      <c r="F309" s="103"/>
      <c r="G309" s="103"/>
      <c r="H309" s="103"/>
      <c r="I309" s="103"/>
      <c r="J309" s="103"/>
      <c r="K309" s="105"/>
      <c r="L309" s="105"/>
      <c r="M309" s="106"/>
      <c r="N309" s="107"/>
      <c r="O309" s="106"/>
      <c r="P309" s="105"/>
      <c r="Q309" s="105"/>
      <c r="R309" s="103"/>
      <c r="S309" s="103"/>
      <c r="T309" s="103"/>
      <c r="U309" s="103"/>
      <c r="V309" s="103"/>
      <c r="W309" s="108"/>
      <c r="X309" s="108"/>
      <c r="Y309" s="108"/>
      <c r="Z309" s="108"/>
      <c r="AA309" s="108"/>
      <c r="AB309" s="108"/>
      <c r="AC309" s="102"/>
    </row>
    <row r="310" spans="1:45" ht="20.25" customHeight="1" x14ac:dyDescent="0.4">
      <c r="D310" s="714" t="s">
        <v>8</v>
      </c>
      <c r="E310" s="715"/>
      <c r="F310" s="715"/>
      <c r="G310" s="715"/>
      <c r="H310" s="715"/>
      <c r="I310" s="715"/>
      <c r="J310" s="715" t="s">
        <v>5</v>
      </c>
      <c r="K310" s="715"/>
      <c r="L310" s="715"/>
      <c r="M310" s="715"/>
      <c r="N310" s="715"/>
      <c r="O310" s="715"/>
      <c r="P310" s="715"/>
      <c r="Q310" s="715"/>
      <c r="R310" s="614" t="s">
        <v>9</v>
      </c>
      <c r="S310" s="614"/>
      <c r="T310" s="614"/>
      <c r="U310" s="614"/>
      <c r="V310" s="614"/>
      <c r="W310" s="614"/>
      <c r="X310" s="614"/>
      <c r="Y310" s="614"/>
      <c r="Z310" s="614"/>
      <c r="AA310" s="615" t="s">
        <v>10</v>
      </c>
      <c r="AB310" s="615"/>
      <c r="AC310" s="615"/>
      <c r="AD310" s="615" t="s">
        <v>11</v>
      </c>
      <c r="AE310" s="615"/>
      <c r="AF310" s="615"/>
      <c r="AG310" s="615"/>
      <c r="AH310" s="615"/>
      <c r="AI310" s="615"/>
      <c r="AJ310" s="615"/>
      <c r="AK310" s="615"/>
      <c r="AL310" s="615"/>
      <c r="AM310" s="643"/>
    </row>
    <row r="311" spans="1:45" ht="30" customHeight="1" x14ac:dyDescent="0.4">
      <c r="D311" s="718" t="s">
        <v>12</v>
      </c>
      <c r="E311" s="644"/>
      <c r="F311" s="644"/>
      <c r="G311" s="644"/>
      <c r="H311" s="644"/>
      <c r="I311" s="644"/>
      <c r="J311" s="644"/>
      <c r="K311" s="644"/>
      <c r="L311" s="644"/>
      <c r="M311" s="644"/>
      <c r="N311" s="644"/>
      <c r="O311" s="644"/>
      <c r="P311" s="644"/>
      <c r="Q311" s="644"/>
      <c r="R311" s="639"/>
      <c r="S311" s="639"/>
      <c r="T311" s="639"/>
      <c r="U311" s="639"/>
      <c r="V311" s="639"/>
      <c r="W311" s="639"/>
      <c r="X311" s="639"/>
      <c r="Y311" s="639"/>
      <c r="Z311" s="639"/>
      <c r="AA311" s="724"/>
      <c r="AB311" s="724"/>
      <c r="AC311" s="724"/>
      <c r="AD311" s="595"/>
      <c r="AE311" s="595"/>
      <c r="AF311" s="595"/>
      <c r="AG311" s="595"/>
      <c r="AH311" s="595"/>
      <c r="AI311" s="595"/>
      <c r="AJ311" s="595"/>
      <c r="AK311" s="595"/>
      <c r="AL311" s="595"/>
      <c r="AM311" s="596"/>
    </row>
    <row r="312" spans="1:45" ht="30" customHeight="1" x14ac:dyDescent="0.4">
      <c r="D312" s="718" t="s">
        <v>12</v>
      </c>
      <c r="E312" s="644"/>
      <c r="F312" s="644"/>
      <c r="G312" s="644"/>
      <c r="H312" s="644"/>
      <c r="I312" s="644"/>
      <c r="J312" s="644"/>
      <c r="K312" s="644"/>
      <c r="L312" s="644"/>
      <c r="M312" s="644"/>
      <c r="N312" s="644"/>
      <c r="O312" s="644"/>
      <c r="P312" s="644"/>
      <c r="Q312" s="644"/>
      <c r="R312" s="639"/>
      <c r="S312" s="639"/>
      <c r="T312" s="639"/>
      <c r="U312" s="639"/>
      <c r="V312" s="639"/>
      <c r="W312" s="639"/>
      <c r="X312" s="639"/>
      <c r="Y312" s="639"/>
      <c r="Z312" s="639"/>
      <c r="AA312" s="613"/>
      <c r="AB312" s="613"/>
      <c r="AC312" s="613"/>
      <c r="AD312" s="595"/>
      <c r="AE312" s="595"/>
      <c r="AF312" s="595"/>
      <c r="AG312" s="595"/>
      <c r="AH312" s="595"/>
      <c r="AI312" s="595"/>
      <c r="AJ312" s="595"/>
      <c r="AK312" s="595"/>
      <c r="AL312" s="595"/>
      <c r="AM312" s="596"/>
    </row>
    <row r="313" spans="1:45" ht="30" customHeight="1" thickBot="1" x14ac:dyDescent="0.45">
      <c r="D313" s="616" t="s">
        <v>12</v>
      </c>
      <c r="E313" s="617"/>
      <c r="F313" s="617"/>
      <c r="G313" s="617"/>
      <c r="H313" s="617"/>
      <c r="I313" s="617"/>
      <c r="J313" s="617"/>
      <c r="K313" s="617"/>
      <c r="L313" s="617"/>
      <c r="M313" s="617"/>
      <c r="N313" s="617"/>
      <c r="O313" s="617"/>
      <c r="P313" s="617"/>
      <c r="Q313" s="617"/>
      <c r="R313" s="716"/>
      <c r="S313" s="716"/>
      <c r="T313" s="716"/>
      <c r="U313" s="716"/>
      <c r="V313" s="716"/>
      <c r="W313" s="716"/>
      <c r="X313" s="716"/>
      <c r="Y313" s="716"/>
      <c r="Z313" s="716"/>
      <c r="AA313" s="717"/>
      <c r="AB313" s="717"/>
      <c r="AC313" s="717"/>
      <c r="AD313" s="641"/>
      <c r="AE313" s="641"/>
      <c r="AF313" s="641"/>
      <c r="AG313" s="641"/>
      <c r="AH313" s="641"/>
      <c r="AI313" s="641"/>
      <c r="AJ313" s="641"/>
      <c r="AK313" s="641"/>
      <c r="AL313" s="641"/>
      <c r="AM313" s="642"/>
    </row>
    <row r="314" spans="1:45" ht="14.25" customHeight="1" x14ac:dyDescent="0.4">
      <c r="A314" s="115"/>
      <c r="B314" s="640" t="str">
        <f>U12組合せ!$B$1</f>
        <v>ＪＦＡ　Ｕ-１２サッカーリーグ2021（in栃木） 宇都宮地区リーグ戦（前期）</v>
      </c>
      <c r="C314" s="640"/>
      <c r="D314" s="640"/>
      <c r="E314" s="640"/>
      <c r="F314" s="640"/>
      <c r="G314" s="640"/>
      <c r="H314" s="640"/>
      <c r="I314" s="640"/>
      <c r="J314" s="640"/>
      <c r="K314" s="640"/>
      <c r="L314" s="640"/>
      <c r="M314" s="640"/>
      <c r="N314" s="640"/>
      <c r="O314" s="640"/>
      <c r="P314" s="640"/>
      <c r="Q314" s="640"/>
      <c r="R314" s="640"/>
      <c r="S314" s="640"/>
      <c r="T314" s="640"/>
      <c r="U314" s="640"/>
      <c r="V314" s="640"/>
      <c r="W314" s="640"/>
      <c r="X314" s="640"/>
      <c r="Y314" s="640"/>
      <c r="Z314" s="640"/>
      <c r="AA314" s="640"/>
      <c r="AB314" s="640"/>
      <c r="AC314" s="612" t="str">
        <f>"【"&amp;(U12組合せ!$D$3)&amp;"】"</f>
        <v>【Ａ ブロック】</v>
      </c>
      <c r="AD314" s="612"/>
      <c r="AE314" s="612"/>
      <c r="AF314" s="612"/>
      <c r="AG314" s="612"/>
      <c r="AH314" s="612"/>
      <c r="AI314" s="612"/>
      <c r="AJ314" s="612"/>
      <c r="AK314" s="612" t="str">
        <f>"第"&amp;(U12組合せ!$D$39)</f>
        <v>第４節</v>
      </c>
      <c r="AL314" s="612"/>
      <c r="AM314" s="612"/>
      <c r="AN314" s="612"/>
      <c r="AO314" s="612"/>
      <c r="AP314" s="597" t="s">
        <v>307</v>
      </c>
      <c r="AQ314" s="598"/>
    </row>
    <row r="315" spans="1:45" ht="14.25" customHeight="1" x14ac:dyDescent="0.4">
      <c r="A315" s="115"/>
      <c r="B315" s="640"/>
      <c r="C315" s="640"/>
      <c r="D315" s="640"/>
      <c r="E315" s="640"/>
      <c r="F315" s="640"/>
      <c r="G315" s="640"/>
      <c r="H315" s="640"/>
      <c r="I315" s="640"/>
      <c r="J315" s="640"/>
      <c r="K315" s="640"/>
      <c r="L315" s="640"/>
      <c r="M315" s="640"/>
      <c r="N315" s="640"/>
      <c r="O315" s="640"/>
      <c r="P315" s="640"/>
      <c r="Q315" s="640"/>
      <c r="R315" s="640"/>
      <c r="S315" s="640"/>
      <c r="T315" s="640"/>
      <c r="U315" s="640"/>
      <c r="V315" s="640"/>
      <c r="W315" s="640"/>
      <c r="X315" s="640"/>
      <c r="Y315" s="640"/>
      <c r="Z315" s="640"/>
      <c r="AA315" s="640"/>
      <c r="AB315" s="640"/>
      <c r="AC315" s="612"/>
      <c r="AD315" s="612"/>
      <c r="AE315" s="612"/>
      <c r="AF315" s="612"/>
      <c r="AG315" s="612"/>
      <c r="AH315" s="612"/>
      <c r="AI315" s="612"/>
      <c r="AJ315" s="612"/>
      <c r="AK315" s="612"/>
      <c r="AL315" s="612"/>
      <c r="AM315" s="612"/>
      <c r="AN315" s="612"/>
      <c r="AO315" s="612"/>
      <c r="AP315" s="598"/>
      <c r="AQ315" s="598"/>
      <c r="AR315" s="115"/>
      <c r="AS315" s="115"/>
    </row>
    <row r="316" spans="1:45" ht="27.75" customHeight="1" x14ac:dyDescent="0.4">
      <c r="C316" s="635" t="s">
        <v>1</v>
      </c>
      <c r="D316" s="635"/>
      <c r="E316" s="635"/>
      <c r="F316" s="635"/>
      <c r="G316" s="725" t="str">
        <f>U12対戦スケジュール!C87</f>
        <v>GP白沢 北 PM</v>
      </c>
      <c r="H316" s="726"/>
      <c r="I316" s="726"/>
      <c r="J316" s="726"/>
      <c r="K316" s="726"/>
      <c r="L316" s="726"/>
      <c r="M316" s="726"/>
      <c r="N316" s="726"/>
      <c r="O316" s="727"/>
      <c r="P316" s="635" t="s">
        <v>0</v>
      </c>
      <c r="Q316" s="635"/>
      <c r="R316" s="635"/>
      <c r="S316" s="635"/>
      <c r="T316" s="636" t="str">
        <f>S321</f>
        <v>国本ＪＳＣ</v>
      </c>
      <c r="U316" s="636"/>
      <c r="V316" s="636"/>
      <c r="W316" s="636"/>
      <c r="X316" s="636"/>
      <c r="Y316" s="636"/>
      <c r="Z316" s="636"/>
      <c r="AA316" s="636"/>
      <c r="AB316" s="636"/>
      <c r="AC316" s="635" t="s">
        <v>2</v>
      </c>
      <c r="AD316" s="635"/>
      <c r="AE316" s="635"/>
      <c r="AF316" s="635"/>
      <c r="AG316" s="618">
        <f>U12組合せ!B39</f>
        <v>44353</v>
      </c>
      <c r="AH316" s="619"/>
      <c r="AI316" s="619"/>
      <c r="AJ316" s="619"/>
      <c r="AK316" s="619"/>
      <c r="AL316" s="619"/>
      <c r="AM316" s="620" t="str">
        <f>"（"&amp;TEXT(AG316,"aaa")&amp;"）"</f>
        <v>（日）</v>
      </c>
      <c r="AN316" s="620"/>
      <c r="AO316" s="621"/>
    </row>
    <row r="317" spans="1:45" ht="15" customHeight="1" x14ac:dyDescent="0.4">
      <c r="C317" s="96" t="str">
        <f>U12対戦スケジュール!C86</f>
        <v>A368</v>
      </c>
      <c r="D317" s="102"/>
      <c r="E317" s="102"/>
      <c r="F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95"/>
      <c r="X317" s="95"/>
      <c r="Y317" s="95"/>
      <c r="Z317" s="95"/>
      <c r="AA317" s="95"/>
      <c r="AB317" s="95"/>
      <c r="AC317" s="95"/>
    </row>
    <row r="318" spans="1:45" ht="29.25" customHeight="1" x14ac:dyDescent="0.4">
      <c r="C318" s="637" t="s">
        <v>484</v>
      </c>
      <c r="D318" s="637"/>
      <c r="E318" s="584" t="s">
        <v>473</v>
      </c>
      <c r="F318" s="584"/>
      <c r="G318" s="584"/>
      <c r="H318" s="584"/>
      <c r="I318" s="584"/>
      <c r="J318" s="584"/>
      <c r="K318" s="584"/>
      <c r="L318" s="584"/>
      <c r="M318" s="584"/>
      <c r="N318" s="584"/>
      <c r="O318" s="94"/>
      <c r="P318" s="94"/>
      <c r="Q318" s="637" t="s">
        <v>492</v>
      </c>
      <c r="R318" s="637"/>
      <c r="S318" s="584" t="s">
        <v>477</v>
      </c>
      <c r="T318" s="584"/>
      <c r="U318" s="584"/>
      <c r="V318" s="584"/>
      <c r="W318" s="584"/>
      <c r="X318" s="584"/>
      <c r="Y318" s="584"/>
      <c r="Z318" s="584"/>
      <c r="AA318" s="584"/>
      <c r="AB318" s="584"/>
      <c r="AC318" s="92"/>
      <c r="AD318" s="93"/>
      <c r="AE318" s="637" t="s">
        <v>500</v>
      </c>
      <c r="AF318" s="637"/>
      <c r="AG318" s="584" t="s">
        <v>481</v>
      </c>
      <c r="AH318" s="584"/>
      <c r="AI318" s="584"/>
      <c r="AJ318" s="584"/>
      <c r="AK318" s="584"/>
      <c r="AL318" s="584"/>
      <c r="AM318" s="584"/>
      <c r="AN318" s="584"/>
      <c r="AO318" s="584"/>
      <c r="AP318" s="584"/>
    </row>
    <row r="319" spans="1:45" ht="29.25" customHeight="1" x14ac:dyDescent="0.4">
      <c r="C319" s="637" t="s">
        <v>485</v>
      </c>
      <c r="D319" s="637"/>
      <c r="E319" s="584" t="s">
        <v>474</v>
      </c>
      <c r="F319" s="584"/>
      <c r="G319" s="584"/>
      <c r="H319" s="584"/>
      <c r="I319" s="584"/>
      <c r="J319" s="584"/>
      <c r="K319" s="584"/>
      <c r="L319" s="584"/>
      <c r="M319" s="584"/>
      <c r="N319" s="584"/>
      <c r="O319" s="94"/>
      <c r="P319" s="94"/>
      <c r="Q319" s="636" t="s">
        <v>493</v>
      </c>
      <c r="R319" s="636"/>
      <c r="S319" s="709" t="s">
        <v>478</v>
      </c>
      <c r="T319" s="709"/>
      <c r="U319" s="709"/>
      <c r="V319" s="709"/>
      <c r="W319" s="709"/>
      <c r="X319" s="709"/>
      <c r="Y319" s="709"/>
      <c r="Z319" s="709"/>
      <c r="AA319" s="709"/>
      <c r="AB319" s="709"/>
      <c r="AC319" s="92"/>
      <c r="AD319" s="93"/>
      <c r="AE319" s="637" t="s">
        <v>501</v>
      </c>
      <c r="AF319" s="637"/>
      <c r="AG319" s="584" t="s">
        <v>482</v>
      </c>
      <c r="AH319" s="584"/>
      <c r="AI319" s="584"/>
      <c r="AJ319" s="584"/>
      <c r="AK319" s="584"/>
      <c r="AL319" s="584"/>
      <c r="AM319" s="584"/>
      <c r="AN319" s="584"/>
      <c r="AO319" s="584"/>
      <c r="AP319" s="584"/>
      <c r="AR319" s="96">
        <f>326/2</f>
        <v>163</v>
      </c>
    </row>
    <row r="320" spans="1:45" ht="29.25" customHeight="1" x14ac:dyDescent="0.4">
      <c r="C320" s="636" t="s">
        <v>487</v>
      </c>
      <c r="D320" s="636"/>
      <c r="E320" s="709" t="s">
        <v>475</v>
      </c>
      <c r="F320" s="709"/>
      <c r="G320" s="709"/>
      <c r="H320" s="709"/>
      <c r="I320" s="709"/>
      <c r="J320" s="709"/>
      <c r="K320" s="709"/>
      <c r="L320" s="709"/>
      <c r="M320" s="709"/>
      <c r="N320" s="709"/>
      <c r="O320" s="94"/>
      <c r="P320" s="94"/>
      <c r="Q320" s="637" t="s">
        <v>495</v>
      </c>
      <c r="R320" s="637"/>
      <c r="S320" s="584" t="s">
        <v>479</v>
      </c>
      <c r="T320" s="584"/>
      <c r="U320" s="584"/>
      <c r="V320" s="584"/>
      <c r="W320" s="584"/>
      <c r="X320" s="584"/>
      <c r="Y320" s="584"/>
      <c r="Z320" s="584"/>
      <c r="AA320" s="584"/>
      <c r="AB320" s="584"/>
      <c r="AC320" s="92"/>
      <c r="AD320" s="93"/>
      <c r="AE320" s="710" t="s">
        <v>550</v>
      </c>
      <c r="AF320" s="710"/>
      <c r="AG320" s="638" t="s">
        <v>541</v>
      </c>
      <c r="AH320" s="638"/>
      <c r="AI320" s="638"/>
      <c r="AJ320" s="638"/>
      <c r="AK320" s="638"/>
      <c r="AL320" s="638"/>
      <c r="AM320" s="638"/>
      <c r="AN320" s="638"/>
      <c r="AO320" s="638"/>
      <c r="AP320" s="638"/>
      <c r="AR320" s="96">
        <v>89</v>
      </c>
    </row>
    <row r="321" spans="2:51" ht="29.25" customHeight="1" x14ac:dyDescent="0.4">
      <c r="B321" s="102"/>
      <c r="C321" s="637" t="s">
        <v>489</v>
      </c>
      <c r="D321" s="637"/>
      <c r="E321" s="584" t="s">
        <v>476</v>
      </c>
      <c r="F321" s="584"/>
      <c r="G321" s="584"/>
      <c r="H321" s="584"/>
      <c r="I321" s="584"/>
      <c r="J321" s="584"/>
      <c r="K321" s="584"/>
      <c r="L321" s="584"/>
      <c r="M321" s="584"/>
      <c r="N321" s="584"/>
      <c r="O321" s="94"/>
      <c r="P321" s="94"/>
      <c r="Q321" s="636" t="s">
        <v>497</v>
      </c>
      <c r="R321" s="636"/>
      <c r="S321" s="709" t="s">
        <v>480</v>
      </c>
      <c r="T321" s="709"/>
      <c r="U321" s="709"/>
      <c r="V321" s="709"/>
      <c r="W321" s="709"/>
      <c r="X321" s="709"/>
      <c r="Y321" s="709"/>
      <c r="Z321" s="709"/>
      <c r="AA321" s="709"/>
      <c r="AB321" s="709"/>
      <c r="AC321" s="92"/>
      <c r="AD321" s="94"/>
      <c r="AE321" s="710" t="s">
        <v>519</v>
      </c>
      <c r="AF321" s="710"/>
      <c r="AG321" s="638" t="s">
        <v>537</v>
      </c>
      <c r="AH321" s="638"/>
      <c r="AI321" s="638"/>
      <c r="AJ321" s="638"/>
      <c r="AK321" s="638"/>
      <c r="AL321" s="638"/>
      <c r="AM321" s="638"/>
      <c r="AN321" s="638"/>
      <c r="AO321" s="638"/>
      <c r="AP321" s="638"/>
      <c r="AR321" s="96">
        <f>AR319-AR320</f>
        <v>74</v>
      </c>
    </row>
    <row r="322" spans="2:51" ht="24" customHeight="1" x14ac:dyDescent="0.4">
      <c r="O322" s="102"/>
      <c r="P322" s="102"/>
      <c r="AC322" s="95"/>
      <c r="AE322" s="710" t="s">
        <v>564</v>
      </c>
      <c r="AF322" s="710"/>
      <c r="AG322" s="638" t="s">
        <v>542</v>
      </c>
      <c r="AH322" s="638"/>
      <c r="AI322" s="638"/>
      <c r="AJ322" s="638"/>
      <c r="AK322" s="638"/>
      <c r="AL322" s="638"/>
      <c r="AM322" s="638"/>
      <c r="AN322" s="638"/>
      <c r="AO322" s="638"/>
      <c r="AP322" s="638"/>
    </row>
    <row r="323" spans="2:51" ht="6.75" customHeight="1" x14ac:dyDescent="0.4">
      <c r="C323" s="117"/>
      <c r="D323" s="118"/>
      <c r="E323" s="118"/>
      <c r="F323" s="118"/>
      <c r="G323" s="118"/>
      <c r="H323" s="118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18"/>
      <c r="U323" s="102"/>
      <c r="V323" s="118"/>
      <c r="W323" s="102"/>
      <c r="X323" s="118"/>
      <c r="Y323" s="102"/>
      <c r="Z323" s="118"/>
      <c r="AA323" s="102"/>
      <c r="AB323" s="118"/>
      <c r="AC323" s="118"/>
    </row>
    <row r="324" spans="2:51" ht="21" customHeight="1" x14ac:dyDescent="0.4">
      <c r="B324" s="118" t="str">
        <f ca="1">IF(B326="①","【監督会議 8：20～】","【監督会議 12：50～】")</f>
        <v>【監督会議 12：50～】</v>
      </c>
      <c r="I324" s="96" t="s">
        <v>330</v>
      </c>
    </row>
    <row r="325" spans="2:51" ht="20.25" customHeight="1" x14ac:dyDescent="0.4">
      <c r="B325" s="97"/>
      <c r="C325" s="711" t="s">
        <v>3</v>
      </c>
      <c r="D325" s="711"/>
      <c r="E325" s="711"/>
      <c r="F325" s="712" t="s">
        <v>4</v>
      </c>
      <c r="G325" s="712"/>
      <c r="H325" s="712"/>
      <c r="I325" s="712"/>
      <c r="J325" s="711" t="s">
        <v>5</v>
      </c>
      <c r="K325" s="713"/>
      <c r="L325" s="713"/>
      <c r="M325" s="713"/>
      <c r="N325" s="713"/>
      <c r="O325" s="713"/>
      <c r="P325" s="713"/>
      <c r="Q325" s="711" t="s">
        <v>32</v>
      </c>
      <c r="R325" s="711"/>
      <c r="S325" s="711"/>
      <c r="T325" s="711"/>
      <c r="U325" s="711"/>
      <c r="V325" s="711"/>
      <c r="W325" s="711"/>
      <c r="X325" s="711" t="s">
        <v>5</v>
      </c>
      <c r="Y325" s="713"/>
      <c r="Z325" s="713"/>
      <c r="AA325" s="713"/>
      <c r="AB325" s="713"/>
      <c r="AC325" s="713"/>
      <c r="AD325" s="713"/>
      <c r="AE325" s="712" t="s">
        <v>4</v>
      </c>
      <c r="AF325" s="712"/>
      <c r="AG325" s="712"/>
      <c r="AH325" s="712"/>
      <c r="AI325" s="711" t="s">
        <v>6</v>
      </c>
      <c r="AJ325" s="711"/>
      <c r="AK325" s="713"/>
      <c r="AL325" s="713"/>
      <c r="AM325" s="713"/>
      <c r="AN325" s="713"/>
      <c r="AO325" s="713"/>
      <c r="AP325" s="713"/>
    </row>
    <row r="326" spans="2:51" ht="20.100000000000001" customHeight="1" x14ac:dyDescent="0.4">
      <c r="B326" s="644" t="str">
        <f ca="1">DBCS(INDIRECT("U12対戦スケジュール!A"&amp;(ROW())/2-74))</f>
        <v>④</v>
      </c>
      <c r="C326" s="645">
        <f ca="1">INDIRECT("U12対戦スケジュール!B"&amp;(ROW())/2-74)</f>
        <v>0.5625</v>
      </c>
      <c r="D326" s="646"/>
      <c r="E326" s="647"/>
      <c r="F326" s="583"/>
      <c r="G326" s="583"/>
      <c r="H326" s="583"/>
      <c r="I326" s="583"/>
      <c r="J326" s="636" t="str">
        <f ca="1">VLOOKUP(AR326,U12組合せ!B$10:E$19,3,TRUE)</f>
        <v>unionscU12</v>
      </c>
      <c r="K326" s="637"/>
      <c r="L326" s="637"/>
      <c r="M326" s="637"/>
      <c r="N326" s="637"/>
      <c r="O326" s="637"/>
      <c r="P326" s="637"/>
      <c r="Q326" s="635" t="str">
        <f>IF(OR(S326="",S327=""),"",S326+S327)</f>
        <v/>
      </c>
      <c r="R326" s="635"/>
      <c r="S326" s="98"/>
      <c r="T326" s="99" t="s">
        <v>7</v>
      </c>
      <c r="U326" s="98"/>
      <c r="V326" s="635" t="str">
        <f>IF(OR(U326="",U327=""),"",U326+U327)</f>
        <v/>
      </c>
      <c r="W326" s="635"/>
      <c r="X326" s="636" t="str">
        <f ca="1">VLOOKUP(AS326,U12組合せ!B$10:E$19,3,TRUE)</f>
        <v>Ｓ４スペランツァ</v>
      </c>
      <c r="Y326" s="637"/>
      <c r="Z326" s="637"/>
      <c r="AA326" s="637"/>
      <c r="AB326" s="637"/>
      <c r="AC326" s="637"/>
      <c r="AD326" s="637"/>
      <c r="AE326" s="583"/>
      <c r="AF326" s="583"/>
      <c r="AG326" s="583"/>
      <c r="AH326" s="583"/>
      <c r="AI326" s="634" t="str">
        <f ca="1">DBCS(INDIRECT("U12対戦スケジュール!F"&amp;(ROW())/2-74))</f>
        <v>Ａ８／Ｄ３／Ｄ５／Ａ８</v>
      </c>
      <c r="AJ326" s="583"/>
      <c r="AK326" s="583"/>
      <c r="AL326" s="583"/>
      <c r="AM326" s="583"/>
      <c r="AN326" s="583"/>
      <c r="AO326" s="583"/>
      <c r="AP326" s="583"/>
      <c r="AR326" s="119">
        <f ca="1">INDIRECT("U12対戦スケジュール!ｃ"&amp;(ROW())/2-74)</f>
        <v>3</v>
      </c>
      <c r="AS326" s="119">
        <f ca="1">INDIRECT("U12対戦スケジュール!E"&amp;(ROW())/2-74)</f>
        <v>6</v>
      </c>
      <c r="AT326" s="119"/>
      <c r="AU326" s="102"/>
      <c r="AV326" s="102"/>
      <c r="AW326" s="102"/>
      <c r="AX326" s="102"/>
      <c r="AY326" s="102"/>
    </row>
    <row r="327" spans="2:51" ht="20.100000000000001" customHeight="1" x14ac:dyDescent="0.4">
      <c r="B327" s="644"/>
      <c r="C327" s="648"/>
      <c r="D327" s="649"/>
      <c r="E327" s="650"/>
      <c r="F327" s="583"/>
      <c r="G327" s="583"/>
      <c r="H327" s="583"/>
      <c r="I327" s="583"/>
      <c r="J327" s="637"/>
      <c r="K327" s="637"/>
      <c r="L327" s="637"/>
      <c r="M327" s="637"/>
      <c r="N327" s="637"/>
      <c r="O327" s="637"/>
      <c r="P327" s="637"/>
      <c r="Q327" s="635"/>
      <c r="R327" s="635"/>
      <c r="S327" s="98"/>
      <c r="T327" s="99" t="s">
        <v>7</v>
      </c>
      <c r="U327" s="98"/>
      <c r="V327" s="635"/>
      <c r="W327" s="635"/>
      <c r="X327" s="637"/>
      <c r="Y327" s="637"/>
      <c r="Z327" s="637"/>
      <c r="AA327" s="637"/>
      <c r="AB327" s="637"/>
      <c r="AC327" s="637"/>
      <c r="AD327" s="637"/>
      <c r="AE327" s="583"/>
      <c r="AF327" s="583"/>
      <c r="AG327" s="583"/>
      <c r="AH327" s="583"/>
      <c r="AI327" s="583"/>
      <c r="AJ327" s="583"/>
      <c r="AK327" s="583"/>
      <c r="AL327" s="583"/>
      <c r="AM327" s="583"/>
      <c r="AN327" s="583"/>
      <c r="AO327" s="583"/>
      <c r="AP327" s="583"/>
      <c r="AR327" s="119"/>
      <c r="AS327" s="119"/>
      <c r="AU327" s="102"/>
      <c r="AV327" s="102"/>
      <c r="AW327" s="102"/>
      <c r="AX327" s="102"/>
      <c r="AY327" s="102"/>
    </row>
    <row r="328" spans="2:51" ht="20.100000000000001" customHeight="1" x14ac:dyDescent="0.4">
      <c r="B328" s="644" t="str">
        <f ca="1">DBCS(INDIRECT("U12対戦スケジュール!A"&amp;(ROW())/2-74))</f>
        <v>⑤</v>
      </c>
      <c r="C328" s="645">
        <f ca="1">C326+0.042</f>
        <v>0.60450000000000004</v>
      </c>
      <c r="D328" s="646"/>
      <c r="E328" s="647"/>
      <c r="F328" s="583"/>
      <c r="G328" s="583"/>
      <c r="H328" s="583"/>
      <c r="I328" s="583"/>
      <c r="J328" s="636" t="str">
        <f ca="1">VLOOKUP(AR328,U12組合せ!B$10:E$19,3,TRUE)</f>
        <v>unionscU12</v>
      </c>
      <c r="K328" s="637"/>
      <c r="L328" s="637"/>
      <c r="M328" s="637"/>
      <c r="N328" s="637"/>
      <c r="O328" s="637"/>
      <c r="P328" s="637"/>
      <c r="Q328" s="635" t="str">
        <f>IF(OR(S328="",S329=""),"",S328+S329)</f>
        <v/>
      </c>
      <c r="R328" s="635"/>
      <c r="S328" s="98"/>
      <c r="T328" s="99" t="s">
        <v>7</v>
      </c>
      <c r="U328" s="98"/>
      <c r="V328" s="635" t="str">
        <f>IF(OR(U328="",U329=""),"",U328+U329)</f>
        <v/>
      </c>
      <c r="W328" s="635"/>
      <c r="X328" s="636" t="str">
        <f ca="1">VLOOKUP(AS328,U12組合せ!B$10:E$19,3,TRUE)</f>
        <v>国本ＪＳＣ</v>
      </c>
      <c r="Y328" s="637"/>
      <c r="Z328" s="637"/>
      <c r="AA328" s="637"/>
      <c r="AB328" s="637"/>
      <c r="AC328" s="637"/>
      <c r="AD328" s="637"/>
      <c r="AE328" s="583"/>
      <c r="AF328" s="583"/>
      <c r="AG328" s="583"/>
      <c r="AH328" s="583"/>
      <c r="AI328" s="634" t="str">
        <f ca="1">DBCS(INDIRECT("U12対戦スケジュール!F"&amp;(ROW())/2-74))</f>
        <v>Ａ６／Ｄ５／Ｄ７／Ａ６</v>
      </c>
      <c r="AJ328" s="583"/>
      <c r="AK328" s="583"/>
      <c r="AL328" s="583"/>
      <c r="AM328" s="583"/>
      <c r="AN328" s="583"/>
      <c r="AO328" s="583"/>
      <c r="AP328" s="583"/>
      <c r="AR328" s="119">
        <f ca="1">INDIRECT("U12対戦スケジュール!ｃ"&amp;(ROW())/2-74)</f>
        <v>3</v>
      </c>
      <c r="AS328" s="119">
        <f ca="1">INDIRECT("U12対戦スケジュール!E"&amp;(ROW())/2-74)</f>
        <v>8</v>
      </c>
    </row>
    <row r="329" spans="2:51" ht="20.100000000000001" customHeight="1" x14ac:dyDescent="0.4">
      <c r="B329" s="644"/>
      <c r="C329" s="648"/>
      <c r="D329" s="649"/>
      <c r="E329" s="650"/>
      <c r="F329" s="583"/>
      <c r="G329" s="583"/>
      <c r="H329" s="583"/>
      <c r="I329" s="583"/>
      <c r="J329" s="637"/>
      <c r="K329" s="637"/>
      <c r="L329" s="637"/>
      <c r="M329" s="637"/>
      <c r="N329" s="637"/>
      <c r="O329" s="637"/>
      <c r="P329" s="637"/>
      <c r="Q329" s="635"/>
      <c r="R329" s="635"/>
      <c r="S329" s="98"/>
      <c r="T329" s="99" t="s">
        <v>7</v>
      </c>
      <c r="U329" s="98"/>
      <c r="V329" s="635"/>
      <c r="W329" s="635"/>
      <c r="X329" s="637"/>
      <c r="Y329" s="637"/>
      <c r="Z329" s="637"/>
      <c r="AA329" s="637"/>
      <c r="AB329" s="637"/>
      <c r="AC329" s="637"/>
      <c r="AD329" s="637"/>
      <c r="AE329" s="583"/>
      <c r="AF329" s="583"/>
      <c r="AG329" s="583"/>
      <c r="AH329" s="583"/>
      <c r="AI329" s="583"/>
      <c r="AJ329" s="583"/>
      <c r="AK329" s="583"/>
      <c r="AL329" s="583"/>
      <c r="AM329" s="583"/>
      <c r="AN329" s="583"/>
      <c r="AO329" s="583"/>
      <c r="AP329" s="583"/>
      <c r="AR329" s="119"/>
      <c r="AS329" s="119"/>
    </row>
    <row r="330" spans="2:51" ht="20.100000000000001" customHeight="1" x14ac:dyDescent="0.4">
      <c r="B330" s="644" t="str">
        <f ca="1">DBCS(INDIRECT("U12対戦スケジュール!A"&amp;(ROW())/2-74))</f>
        <v>⑥</v>
      </c>
      <c r="C330" s="645">
        <f ca="1">C328+0.042</f>
        <v>0.64650000000000007</v>
      </c>
      <c r="D330" s="646"/>
      <c r="E330" s="647"/>
      <c r="F330" s="583"/>
      <c r="G330" s="583"/>
      <c r="H330" s="583"/>
      <c r="I330" s="583"/>
      <c r="J330" s="636" t="str">
        <f ca="1">VLOOKUP(AR330,U12組合せ!B$10:E$19,3,TRUE)</f>
        <v>Ｓ４スペランツァ</v>
      </c>
      <c r="K330" s="637"/>
      <c r="L330" s="637"/>
      <c r="M330" s="637"/>
      <c r="N330" s="637"/>
      <c r="O330" s="637"/>
      <c r="P330" s="637"/>
      <c r="Q330" s="635" t="str">
        <f>IF(OR(S330="",S331=""),"",S330+S331)</f>
        <v/>
      </c>
      <c r="R330" s="635"/>
      <c r="S330" s="98"/>
      <c r="T330" s="99" t="s">
        <v>7</v>
      </c>
      <c r="U330" s="98"/>
      <c r="V330" s="635" t="str">
        <f>IF(OR(U330="",U331=""),"",U330+U331)</f>
        <v/>
      </c>
      <c r="W330" s="635"/>
      <c r="X330" s="636" t="str">
        <f ca="1">VLOOKUP(AS330,U12組合せ!B$10:E$19,3,TRUE)</f>
        <v>国本ＪＳＣ</v>
      </c>
      <c r="Y330" s="637"/>
      <c r="Z330" s="637"/>
      <c r="AA330" s="637"/>
      <c r="AB330" s="637"/>
      <c r="AC330" s="637"/>
      <c r="AD330" s="637"/>
      <c r="AE330" s="583"/>
      <c r="AF330" s="583"/>
      <c r="AG330" s="583"/>
      <c r="AH330" s="583"/>
      <c r="AI330" s="634" t="str">
        <f ca="1">DBCS(INDIRECT("U12対戦スケジュール!F"&amp;(ROW())/2-74))</f>
        <v>Ａ３／Ｄ７／Ｄ３／Ａ３</v>
      </c>
      <c r="AJ330" s="583"/>
      <c r="AK330" s="583"/>
      <c r="AL330" s="583"/>
      <c r="AM330" s="583"/>
      <c r="AN330" s="583"/>
      <c r="AO330" s="583"/>
      <c r="AP330" s="583"/>
      <c r="AR330" s="119">
        <f ca="1">INDIRECT("U12対戦スケジュール!ｃ"&amp;(ROW())/2-74)</f>
        <v>6</v>
      </c>
      <c r="AS330" s="119">
        <f ca="1">INDIRECT("U12対戦スケジュール!E"&amp;(ROW())/2-74)</f>
        <v>8</v>
      </c>
    </row>
    <row r="331" spans="2:51" ht="20.100000000000001" customHeight="1" x14ac:dyDescent="0.4">
      <c r="B331" s="644"/>
      <c r="C331" s="648"/>
      <c r="D331" s="649"/>
      <c r="E331" s="650"/>
      <c r="F331" s="583"/>
      <c r="G331" s="583"/>
      <c r="H331" s="583"/>
      <c r="I331" s="583"/>
      <c r="J331" s="637"/>
      <c r="K331" s="637"/>
      <c r="L331" s="637"/>
      <c r="M331" s="637"/>
      <c r="N331" s="637"/>
      <c r="O331" s="637"/>
      <c r="P331" s="637"/>
      <c r="Q331" s="635"/>
      <c r="R331" s="635"/>
      <c r="S331" s="98"/>
      <c r="T331" s="99" t="s">
        <v>7</v>
      </c>
      <c r="U331" s="98"/>
      <c r="V331" s="635"/>
      <c r="W331" s="635"/>
      <c r="X331" s="637"/>
      <c r="Y331" s="637"/>
      <c r="Z331" s="637"/>
      <c r="AA331" s="637"/>
      <c r="AB331" s="637"/>
      <c r="AC331" s="637"/>
      <c r="AD331" s="637"/>
      <c r="AE331" s="583"/>
      <c r="AF331" s="583"/>
      <c r="AG331" s="583"/>
      <c r="AH331" s="583"/>
      <c r="AI331" s="583"/>
      <c r="AJ331" s="583"/>
      <c r="AK331" s="583"/>
      <c r="AL331" s="583"/>
      <c r="AM331" s="583"/>
      <c r="AN331" s="583"/>
      <c r="AO331" s="583"/>
      <c r="AP331" s="583"/>
      <c r="AR331" s="119"/>
      <c r="AS331" s="119"/>
    </row>
    <row r="332" spans="2:51" ht="18" customHeight="1" x14ac:dyDescent="0.4">
      <c r="B332" s="644" t="str">
        <f ca="1">DBCS(INDIRECT("U12対戦スケジュール!A"&amp;(ROW())/2-74))</f>
        <v/>
      </c>
      <c r="C332" s="645"/>
      <c r="D332" s="646"/>
      <c r="E332" s="647"/>
      <c r="F332" s="704"/>
      <c r="G332" s="704"/>
      <c r="H332" s="704"/>
      <c r="I332" s="704"/>
      <c r="J332" s="701"/>
      <c r="K332" s="702"/>
      <c r="L332" s="702"/>
      <c r="M332" s="702"/>
      <c r="N332" s="702"/>
      <c r="O332" s="702"/>
      <c r="P332" s="702"/>
      <c r="Q332" s="705"/>
      <c r="R332" s="705"/>
      <c r="S332" s="109"/>
      <c r="T332" s="110"/>
      <c r="U332" s="109"/>
      <c r="V332" s="705"/>
      <c r="W332" s="705"/>
      <c r="X332" s="701"/>
      <c r="Y332" s="702"/>
      <c r="Z332" s="702"/>
      <c r="AA332" s="702"/>
      <c r="AB332" s="702"/>
      <c r="AC332" s="702"/>
      <c r="AD332" s="702"/>
      <c r="AE332" s="704"/>
      <c r="AF332" s="704"/>
      <c r="AG332" s="704"/>
      <c r="AH332" s="704"/>
      <c r="AI332" s="706"/>
      <c r="AJ332" s="707"/>
      <c r="AK332" s="707"/>
      <c r="AL332" s="707"/>
      <c r="AM332" s="707"/>
      <c r="AN332" s="707"/>
      <c r="AO332" s="707"/>
      <c r="AP332" s="707"/>
      <c r="AR332" s="119"/>
      <c r="AS332" s="119"/>
    </row>
    <row r="333" spans="2:51" ht="18" customHeight="1" x14ac:dyDescent="0.4">
      <c r="B333" s="644"/>
      <c r="C333" s="648"/>
      <c r="D333" s="649"/>
      <c r="E333" s="650"/>
      <c r="F333" s="583"/>
      <c r="G333" s="583"/>
      <c r="H333" s="583"/>
      <c r="I333" s="583"/>
      <c r="J333" s="703"/>
      <c r="K333" s="703"/>
      <c r="L333" s="703"/>
      <c r="M333" s="703"/>
      <c r="N333" s="703"/>
      <c r="O333" s="703"/>
      <c r="P333" s="703"/>
      <c r="Q333" s="634"/>
      <c r="R333" s="634"/>
      <c r="S333" s="100"/>
      <c r="T333" s="101"/>
      <c r="U333" s="100"/>
      <c r="V333" s="634"/>
      <c r="W333" s="634"/>
      <c r="X333" s="703"/>
      <c r="Y333" s="703"/>
      <c r="Z333" s="703"/>
      <c r="AA333" s="703"/>
      <c r="AB333" s="703"/>
      <c r="AC333" s="703"/>
      <c r="AD333" s="703"/>
      <c r="AE333" s="583"/>
      <c r="AF333" s="583"/>
      <c r="AG333" s="583"/>
      <c r="AH333" s="583"/>
      <c r="AI333" s="708"/>
      <c r="AJ333" s="708"/>
      <c r="AK333" s="708"/>
      <c r="AL333" s="708"/>
      <c r="AM333" s="708"/>
      <c r="AN333" s="708"/>
      <c r="AO333" s="708"/>
      <c r="AP333" s="708"/>
      <c r="AR333" s="119"/>
      <c r="AS333" s="119"/>
    </row>
    <row r="334" spans="2:51" ht="18" customHeight="1" x14ac:dyDescent="0.4">
      <c r="B334" s="644"/>
      <c r="C334" s="645"/>
      <c r="D334" s="646"/>
      <c r="E334" s="647"/>
      <c r="F334" s="583"/>
      <c r="G334" s="583"/>
      <c r="H334" s="583"/>
      <c r="I334" s="583"/>
      <c r="J334" s="720"/>
      <c r="K334" s="703"/>
      <c r="L334" s="703"/>
      <c r="M334" s="703"/>
      <c r="N334" s="703"/>
      <c r="O334" s="703"/>
      <c r="P334" s="703"/>
      <c r="Q334" s="634"/>
      <c r="R334" s="634"/>
      <c r="S334" s="100"/>
      <c r="T334" s="101"/>
      <c r="U334" s="100"/>
      <c r="V334" s="634"/>
      <c r="W334" s="634"/>
      <c r="X334" s="720"/>
      <c r="Y334" s="703"/>
      <c r="Z334" s="703"/>
      <c r="AA334" s="703"/>
      <c r="AB334" s="703"/>
      <c r="AC334" s="703"/>
      <c r="AD334" s="703"/>
      <c r="AE334" s="583"/>
      <c r="AF334" s="583"/>
      <c r="AG334" s="583"/>
      <c r="AH334" s="583"/>
      <c r="AI334" s="719"/>
      <c r="AJ334" s="708"/>
      <c r="AK334" s="708"/>
      <c r="AL334" s="708"/>
      <c r="AM334" s="708"/>
      <c r="AN334" s="708"/>
      <c r="AO334" s="708"/>
      <c r="AP334" s="708"/>
      <c r="AR334" s="119"/>
      <c r="AS334" s="119"/>
    </row>
    <row r="335" spans="2:51" ht="18" customHeight="1" x14ac:dyDescent="0.4">
      <c r="B335" s="644"/>
      <c r="C335" s="648"/>
      <c r="D335" s="649"/>
      <c r="E335" s="650"/>
      <c r="F335" s="583"/>
      <c r="G335" s="583"/>
      <c r="H335" s="583"/>
      <c r="I335" s="583"/>
      <c r="J335" s="703"/>
      <c r="K335" s="703"/>
      <c r="L335" s="703"/>
      <c r="M335" s="703"/>
      <c r="N335" s="703"/>
      <c r="O335" s="703"/>
      <c r="P335" s="703"/>
      <c r="Q335" s="634"/>
      <c r="R335" s="634"/>
      <c r="S335" s="100"/>
      <c r="T335" s="101"/>
      <c r="U335" s="100"/>
      <c r="V335" s="634"/>
      <c r="W335" s="634"/>
      <c r="X335" s="703"/>
      <c r="Y335" s="703"/>
      <c r="Z335" s="703"/>
      <c r="AA335" s="703"/>
      <c r="AB335" s="703"/>
      <c r="AC335" s="703"/>
      <c r="AD335" s="703"/>
      <c r="AE335" s="583"/>
      <c r="AF335" s="583"/>
      <c r="AG335" s="583"/>
      <c r="AH335" s="583"/>
      <c r="AI335" s="708"/>
      <c r="AJ335" s="708"/>
      <c r="AK335" s="708"/>
      <c r="AL335" s="708"/>
      <c r="AM335" s="708"/>
      <c r="AN335" s="708"/>
      <c r="AO335" s="708"/>
      <c r="AP335" s="708"/>
      <c r="AR335" s="119"/>
      <c r="AS335" s="119"/>
    </row>
    <row r="336" spans="2:51" ht="18" customHeight="1" x14ac:dyDescent="0.4">
      <c r="B336" s="644"/>
      <c r="C336" s="645"/>
      <c r="D336" s="646"/>
      <c r="E336" s="647"/>
      <c r="F336" s="583"/>
      <c r="G336" s="583"/>
      <c r="H336" s="583"/>
      <c r="I336" s="583"/>
      <c r="J336" s="720"/>
      <c r="K336" s="703"/>
      <c r="L336" s="703"/>
      <c r="M336" s="703"/>
      <c r="N336" s="703"/>
      <c r="O336" s="703"/>
      <c r="P336" s="703"/>
      <c r="Q336" s="634"/>
      <c r="R336" s="634"/>
      <c r="S336" s="100"/>
      <c r="T336" s="101"/>
      <c r="U336" s="100"/>
      <c r="V336" s="634"/>
      <c r="W336" s="634"/>
      <c r="X336" s="720"/>
      <c r="Y336" s="703"/>
      <c r="Z336" s="703"/>
      <c r="AA336" s="703"/>
      <c r="AB336" s="703"/>
      <c r="AC336" s="703"/>
      <c r="AD336" s="703"/>
      <c r="AE336" s="583"/>
      <c r="AF336" s="583"/>
      <c r="AG336" s="583"/>
      <c r="AH336" s="583"/>
      <c r="AI336" s="719"/>
      <c r="AJ336" s="708"/>
      <c r="AK336" s="708"/>
      <c r="AL336" s="708"/>
      <c r="AM336" s="708"/>
      <c r="AN336" s="708"/>
      <c r="AO336" s="708"/>
      <c r="AP336" s="708"/>
      <c r="AR336" s="119"/>
      <c r="AS336" s="119"/>
    </row>
    <row r="337" spans="1:45" ht="18" customHeight="1" x14ac:dyDescent="0.4">
      <c r="B337" s="644"/>
      <c r="C337" s="648"/>
      <c r="D337" s="649"/>
      <c r="E337" s="650"/>
      <c r="F337" s="583"/>
      <c r="G337" s="583"/>
      <c r="H337" s="583"/>
      <c r="I337" s="583"/>
      <c r="J337" s="703"/>
      <c r="K337" s="703"/>
      <c r="L337" s="703"/>
      <c r="M337" s="703"/>
      <c r="N337" s="703"/>
      <c r="O337" s="703"/>
      <c r="P337" s="703"/>
      <c r="Q337" s="634"/>
      <c r="R337" s="634"/>
      <c r="S337" s="100"/>
      <c r="T337" s="101"/>
      <c r="U337" s="100"/>
      <c r="V337" s="634"/>
      <c r="W337" s="634"/>
      <c r="X337" s="703"/>
      <c r="Y337" s="703"/>
      <c r="Z337" s="703"/>
      <c r="AA337" s="703"/>
      <c r="AB337" s="703"/>
      <c r="AC337" s="703"/>
      <c r="AD337" s="703"/>
      <c r="AE337" s="583"/>
      <c r="AF337" s="583"/>
      <c r="AG337" s="583"/>
      <c r="AH337" s="583"/>
      <c r="AI337" s="708"/>
      <c r="AJ337" s="708"/>
      <c r="AK337" s="708"/>
      <c r="AL337" s="708"/>
      <c r="AM337" s="708"/>
      <c r="AN337" s="708"/>
      <c r="AO337" s="708"/>
      <c r="AP337" s="708"/>
      <c r="AR337" s="119"/>
      <c r="AS337" s="119"/>
    </row>
    <row r="338" spans="1:45" ht="18" customHeight="1" x14ac:dyDescent="0.4">
      <c r="B338" s="644"/>
      <c r="C338" s="723"/>
      <c r="D338" s="723"/>
      <c r="E338" s="723"/>
      <c r="F338" s="583"/>
      <c r="G338" s="583"/>
      <c r="H338" s="583"/>
      <c r="I338" s="583"/>
      <c r="J338" s="721"/>
      <c r="K338" s="722"/>
      <c r="L338" s="722"/>
      <c r="M338" s="722"/>
      <c r="N338" s="722"/>
      <c r="O338" s="722"/>
      <c r="P338" s="722"/>
      <c r="Q338" s="634"/>
      <c r="R338" s="634"/>
      <c r="S338" s="100"/>
      <c r="T338" s="101"/>
      <c r="U338" s="100"/>
      <c r="V338" s="634"/>
      <c r="W338" s="634"/>
      <c r="X338" s="721"/>
      <c r="Y338" s="722"/>
      <c r="Z338" s="722"/>
      <c r="AA338" s="722"/>
      <c r="AB338" s="722"/>
      <c r="AC338" s="722"/>
      <c r="AD338" s="722"/>
      <c r="AE338" s="583"/>
      <c r="AF338" s="583"/>
      <c r="AG338" s="583"/>
      <c r="AH338" s="583"/>
      <c r="AI338" s="634"/>
      <c r="AJ338" s="583"/>
      <c r="AK338" s="583"/>
      <c r="AL338" s="583"/>
      <c r="AM338" s="583"/>
      <c r="AN338" s="583"/>
      <c r="AO338" s="583"/>
      <c r="AP338" s="583"/>
      <c r="AR338" s="119"/>
      <c r="AS338" s="119"/>
    </row>
    <row r="339" spans="1:45" ht="18" customHeight="1" x14ac:dyDescent="0.4">
      <c r="B339" s="644"/>
      <c r="C339" s="723"/>
      <c r="D339" s="723"/>
      <c r="E339" s="723"/>
      <c r="F339" s="583"/>
      <c r="G339" s="583"/>
      <c r="H339" s="583"/>
      <c r="I339" s="583"/>
      <c r="J339" s="722"/>
      <c r="K339" s="722"/>
      <c r="L339" s="722"/>
      <c r="M339" s="722"/>
      <c r="N339" s="722"/>
      <c r="O339" s="722"/>
      <c r="P339" s="722"/>
      <c r="Q339" s="634"/>
      <c r="R339" s="634"/>
      <c r="S339" s="100"/>
      <c r="T339" s="101"/>
      <c r="U339" s="100"/>
      <c r="V339" s="634"/>
      <c r="W339" s="634"/>
      <c r="X339" s="722"/>
      <c r="Y339" s="722"/>
      <c r="Z339" s="722"/>
      <c r="AA339" s="722"/>
      <c r="AB339" s="722"/>
      <c r="AC339" s="722"/>
      <c r="AD339" s="722"/>
      <c r="AE339" s="583"/>
      <c r="AF339" s="583"/>
      <c r="AG339" s="583"/>
      <c r="AH339" s="583"/>
      <c r="AI339" s="583"/>
      <c r="AJ339" s="583"/>
      <c r="AK339" s="583"/>
      <c r="AL339" s="583"/>
      <c r="AM339" s="583"/>
      <c r="AN339" s="583"/>
      <c r="AO339" s="583"/>
      <c r="AP339" s="583"/>
      <c r="AR339" s="119"/>
      <c r="AS339" s="119"/>
    </row>
    <row r="340" spans="1:45" ht="15.75" customHeight="1" thickBot="1" x14ac:dyDescent="0.45">
      <c r="A340" s="102"/>
      <c r="B340" s="103"/>
      <c r="C340" s="104"/>
      <c r="D340" s="104"/>
      <c r="E340" s="104"/>
      <c r="F340" s="103"/>
      <c r="G340" s="103"/>
      <c r="H340" s="103"/>
      <c r="I340" s="103"/>
      <c r="J340" s="103"/>
      <c r="K340" s="105"/>
      <c r="L340" s="105"/>
      <c r="M340" s="106"/>
      <c r="N340" s="107"/>
      <c r="O340" s="106"/>
      <c r="P340" s="105"/>
      <c r="Q340" s="105"/>
      <c r="R340" s="103"/>
      <c r="S340" s="103"/>
      <c r="T340" s="103"/>
      <c r="U340" s="103"/>
      <c r="V340" s="103"/>
      <c r="W340" s="108"/>
      <c r="X340" s="108"/>
      <c r="Y340" s="108"/>
      <c r="Z340" s="108"/>
      <c r="AA340" s="108"/>
      <c r="AB340" s="108"/>
      <c r="AC340" s="102"/>
    </row>
    <row r="341" spans="1:45" ht="20.25" customHeight="1" x14ac:dyDescent="0.4">
      <c r="D341" s="714" t="s">
        <v>8</v>
      </c>
      <c r="E341" s="715"/>
      <c r="F341" s="715"/>
      <c r="G341" s="715"/>
      <c r="H341" s="715"/>
      <c r="I341" s="715"/>
      <c r="J341" s="715" t="s">
        <v>5</v>
      </c>
      <c r="K341" s="715"/>
      <c r="L341" s="715"/>
      <c r="M341" s="715"/>
      <c r="N341" s="715"/>
      <c r="O341" s="715"/>
      <c r="P341" s="715"/>
      <c r="Q341" s="715"/>
      <c r="R341" s="614" t="s">
        <v>9</v>
      </c>
      <c r="S341" s="614"/>
      <c r="T341" s="614"/>
      <c r="U341" s="614"/>
      <c r="V341" s="614"/>
      <c r="W341" s="614"/>
      <c r="X341" s="614"/>
      <c r="Y341" s="614"/>
      <c r="Z341" s="614"/>
      <c r="AA341" s="615" t="s">
        <v>10</v>
      </c>
      <c r="AB341" s="615"/>
      <c r="AC341" s="615"/>
      <c r="AD341" s="615" t="s">
        <v>11</v>
      </c>
      <c r="AE341" s="615"/>
      <c r="AF341" s="615"/>
      <c r="AG341" s="615"/>
      <c r="AH341" s="615"/>
      <c r="AI341" s="615"/>
      <c r="AJ341" s="615"/>
      <c r="AK341" s="615"/>
      <c r="AL341" s="615"/>
      <c r="AM341" s="643"/>
    </row>
    <row r="342" spans="1:45" ht="30" customHeight="1" x14ac:dyDescent="0.4">
      <c r="D342" s="718" t="s">
        <v>12</v>
      </c>
      <c r="E342" s="644"/>
      <c r="F342" s="644"/>
      <c r="G342" s="644"/>
      <c r="H342" s="644"/>
      <c r="I342" s="644"/>
      <c r="J342" s="644"/>
      <c r="K342" s="644"/>
      <c r="L342" s="644"/>
      <c r="M342" s="644"/>
      <c r="N342" s="644"/>
      <c r="O342" s="644"/>
      <c r="P342" s="644"/>
      <c r="Q342" s="644"/>
      <c r="R342" s="639"/>
      <c r="S342" s="639"/>
      <c r="T342" s="639"/>
      <c r="U342" s="639"/>
      <c r="V342" s="639"/>
      <c r="W342" s="639"/>
      <c r="X342" s="639"/>
      <c r="Y342" s="639"/>
      <c r="Z342" s="639"/>
      <c r="AA342" s="724"/>
      <c r="AB342" s="724"/>
      <c r="AC342" s="724"/>
      <c r="AD342" s="595"/>
      <c r="AE342" s="595"/>
      <c r="AF342" s="595"/>
      <c r="AG342" s="595"/>
      <c r="AH342" s="595"/>
      <c r="AI342" s="595"/>
      <c r="AJ342" s="595"/>
      <c r="AK342" s="595"/>
      <c r="AL342" s="595"/>
      <c r="AM342" s="596"/>
      <c r="AR342" s="96">
        <f>356/2</f>
        <v>178</v>
      </c>
    </row>
    <row r="343" spans="1:45" ht="30" customHeight="1" x14ac:dyDescent="0.4">
      <c r="D343" s="718" t="s">
        <v>12</v>
      </c>
      <c r="E343" s="644"/>
      <c r="F343" s="644"/>
      <c r="G343" s="644"/>
      <c r="H343" s="644"/>
      <c r="I343" s="644"/>
      <c r="J343" s="644"/>
      <c r="K343" s="644"/>
      <c r="L343" s="644"/>
      <c r="M343" s="644"/>
      <c r="N343" s="644"/>
      <c r="O343" s="644"/>
      <c r="P343" s="644"/>
      <c r="Q343" s="644"/>
      <c r="R343" s="639"/>
      <c r="S343" s="639"/>
      <c r="T343" s="639"/>
      <c r="U343" s="639"/>
      <c r="V343" s="639"/>
      <c r="W343" s="639"/>
      <c r="X343" s="639"/>
      <c r="Y343" s="639"/>
      <c r="Z343" s="639"/>
      <c r="AA343" s="613"/>
      <c r="AB343" s="613"/>
      <c r="AC343" s="613"/>
      <c r="AD343" s="595"/>
      <c r="AE343" s="595"/>
      <c r="AF343" s="595"/>
      <c r="AG343" s="595"/>
      <c r="AH343" s="595"/>
      <c r="AI343" s="595"/>
      <c r="AJ343" s="595"/>
      <c r="AK343" s="595"/>
      <c r="AL343" s="595"/>
      <c r="AM343" s="596"/>
      <c r="AR343" s="96">
        <v>96</v>
      </c>
    </row>
    <row r="344" spans="1:45" ht="30" customHeight="1" thickBot="1" x14ac:dyDescent="0.45">
      <c r="D344" s="616" t="s">
        <v>12</v>
      </c>
      <c r="E344" s="617"/>
      <c r="F344" s="617"/>
      <c r="G344" s="617"/>
      <c r="H344" s="617"/>
      <c r="I344" s="617"/>
      <c r="J344" s="617"/>
      <c r="K344" s="617"/>
      <c r="L344" s="617"/>
      <c r="M344" s="617"/>
      <c r="N344" s="617"/>
      <c r="O344" s="617"/>
      <c r="P344" s="617"/>
      <c r="Q344" s="617"/>
      <c r="R344" s="716"/>
      <c r="S344" s="716"/>
      <c r="T344" s="716"/>
      <c r="U344" s="716"/>
      <c r="V344" s="716"/>
      <c r="W344" s="716"/>
      <c r="X344" s="716"/>
      <c r="Y344" s="716"/>
      <c r="Z344" s="716"/>
      <c r="AA344" s="717"/>
      <c r="AB344" s="717"/>
      <c r="AC344" s="717"/>
      <c r="AD344" s="641"/>
      <c r="AE344" s="641"/>
      <c r="AF344" s="641"/>
      <c r="AG344" s="641"/>
      <c r="AH344" s="641"/>
      <c r="AI344" s="641"/>
      <c r="AJ344" s="641"/>
      <c r="AK344" s="641"/>
      <c r="AL344" s="641"/>
      <c r="AM344" s="642"/>
      <c r="AR344" s="96">
        <f>AR342-AR343</f>
        <v>82</v>
      </c>
    </row>
    <row r="345" spans="1:45" ht="14.25" customHeight="1" x14ac:dyDescent="0.4">
      <c r="A345" s="115"/>
      <c r="B345" s="640" t="str">
        <f>U12組合せ!$B$1</f>
        <v>ＪＦＡ　Ｕ-１２サッカーリーグ2021（in栃木） 宇都宮地区リーグ戦（前期）</v>
      </c>
      <c r="C345" s="640"/>
      <c r="D345" s="640"/>
      <c r="E345" s="640"/>
      <c r="F345" s="640"/>
      <c r="G345" s="640"/>
      <c r="H345" s="640"/>
      <c r="I345" s="640"/>
      <c r="J345" s="640"/>
      <c r="K345" s="640"/>
      <c r="L345" s="640"/>
      <c r="M345" s="640"/>
      <c r="N345" s="640"/>
      <c r="O345" s="640"/>
      <c r="P345" s="640"/>
      <c r="Q345" s="640"/>
      <c r="R345" s="640"/>
      <c r="S345" s="640"/>
      <c r="T345" s="640"/>
      <c r="U345" s="640"/>
      <c r="V345" s="640"/>
      <c r="W345" s="640"/>
      <c r="X345" s="640"/>
      <c r="Y345" s="640"/>
      <c r="Z345" s="640"/>
      <c r="AA345" s="640"/>
      <c r="AB345" s="640"/>
      <c r="AC345" s="612" t="str">
        <f>"【"&amp;(U12組合せ!$D$3)&amp;"】"</f>
        <v>【Ａ ブロック】</v>
      </c>
      <c r="AD345" s="612"/>
      <c r="AE345" s="612"/>
      <c r="AF345" s="612"/>
      <c r="AG345" s="612"/>
      <c r="AH345" s="612"/>
      <c r="AI345" s="612"/>
      <c r="AJ345" s="612"/>
      <c r="AK345" s="612" t="str">
        <f>"第"&amp;(U12組合せ!$D$39)</f>
        <v>第４節</v>
      </c>
      <c r="AL345" s="612"/>
      <c r="AM345" s="612"/>
      <c r="AN345" s="612"/>
      <c r="AO345" s="612"/>
      <c r="AP345" s="597" t="s">
        <v>301</v>
      </c>
      <c r="AQ345" s="598"/>
    </row>
    <row r="346" spans="1:45" ht="49.5" customHeight="1" x14ac:dyDescent="0.4">
      <c r="A346" s="115"/>
      <c r="B346" s="640"/>
      <c r="C346" s="640"/>
      <c r="D346" s="640"/>
      <c r="E346" s="640"/>
      <c r="F346" s="640"/>
      <c r="G346" s="640"/>
      <c r="H346" s="640"/>
      <c r="I346" s="640"/>
      <c r="J346" s="640"/>
      <c r="K346" s="640"/>
      <c r="L346" s="640"/>
      <c r="M346" s="640"/>
      <c r="N346" s="640"/>
      <c r="O346" s="640"/>
      <c r="P346" s="640"/>
      <c r="Q346" s="640"/>
      <c r="R346" s="640"/>
      <c r="S346" s="640"/>
      <c r="T346" s="640"/>
      <c r="U346" s="640"/>
      <c r="V346" s="640"/>
      <c r="W346" s="640"/>
      <c r="X346" s="640"/>
      <c r="Y346" s="640"/>
      <c r="Z346" s="640"/>
      <c r="AA346" s="640"/>
      <c r="AB346" s="640"/>
      <c r="AC346" s="612"/>
      <c r="AD346" s="612"/>
      <c r="AE346" s="612"/>
      <c r="AF346" s="612"/>
      <c r="AG346" s="612"/>
      <c r="AH346" s="612"/>
      <c r="AI346" s="612"/>
      <c r="AJ346" s="612"/>
      <c r="AK346" s="612"/>
      <c r="AL346" s="612"/>
      <c r="AM346" s="612"/>
      <c r="AN346" s="612"/>
      <c r="AO346" s="612"/>
      <c r="AP346" s="598"/>
      <c r="AQ346" s="598"/>
    </row>
    <row r="347" spans="1:45" ht="27.75" customHeight="1" x14ac:dyDescent="0.4">
      <c r="C347" s="635" t="s">
        <v>1</v>
      </c>
      <c r="D347" s="635"/>
      <c r="E347" s="635"/>
      <c r="F347" s="635"/>
      <c r="G347" s="636" t="str">
        <f>U12対戦スケジュール!C94</f>
        <v>平出 北 AM</v>
      </c>
      <c r="H347" s="636"/>
      <c r="I347" s="636"/>
      <c r="J347" s="636"/>
      <c r="K347" s="636"/>
      <c r="L347" s="636"/>
      <c r="M347" s="636"/>
      <c r="N347" s="636"/>
      <c r="O347" s="636"/>
      <c r="P347" s="635" t="s">
        <v>0</v>
      </c>
      <c r="Q347" s="635"/>
      <c r="R347" s="635"/>
      <c r="S347" s="635"/>
      <c r="T347" s="636" t="str">
        <f>E350</f>
        <v>石井ＦＣ</v>
      </c>
      <c r="U347" s="636"/>
      <c r="V347" s="636"/>
      <c r="W347" s="636"/>
      <c r="X347" s="636"/>
      <c r="Y347" s="636"/>
      <c r="Z347" s="636"/>
      <c r="AA347" s="636"/>
      <c r="AB347" s="636"/>
      <c r="AC347" s="635" t="s">
        <v>2</v>
      </c>
      <c r="AD347" s="635"/>
      <c r="AE347" s="635"/>
      <c r="AF347" s="635"/>
      <c r="AG347" s="618">
        <f>U12組合せ!B39</f>
        <v>44353</v>
      </c>
      <c r="AH347" s="619"/>
      <c r="AI347" s="619"/>
      <c r="AJ347" s="619"/>
      <c r="AK347" s="619"/>
      <c r="AL347" s="619"/>
      <c r="AM347" s="620" t="str">
        <f>"（"&amp;TEXT(AG347,"aaa")&amp;"）"</f>
        <v>（日）</v>
      </c>
      <c r="AN347" s="620"/>
      <c r="AO347" s="621"/>
    </row>
    <row r="348" spans="1:45" ht="15" customHeight="1" x14ac:dyDescent="0.4">
      <c r="C348" s="102" t="str">
        <f>U12組合せ!E44</f>
        <v>A2410</v>
      </c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95"/>
      <c r="X348" s="95"/>
      <c r="Y348" s="95"/>
      <c r="Z348" s="95"/>
      <c r="AA348" s="95"/>
      <c r="AB348" s="95"/>
      <c r="AC348" s="95"/>
    </row>
    <row r="349" spans="1:45" ht="29.25" customHeight="1" x14ac:dyDescent="0.4">
      <c r="C349" s="637" t="s">
        <v>484</v>
      </c>
      <c r="D349" s="637"/>
      <c r="E349" s="584" t="s">
        <v>473</v>
      </c>
      <c r="F349" s="584"/>
      <c r="G349" s="584"/>
      <c r="H349" s="584"/>
      <c r="I349" s="584"/>
      <c r="J349" s="584"/>
      <c r="K349" s="584"/>
      <c r="L349" s="584"/>
      <c r="M349" s="584"/>
      <c r="N349" s="584"/>
      <c r="O349" s="94"/>
      <c r="P349" s="94"/>
      <c r="Q349" s="637" t="s">
        <v>492</v>
      </c>
      <c r="R349" s="637"/>
      <c r="S349" s="584" t="s">
        <v>477</v>
      </c>
      <c r="T349" s="584"/>
      <c r="U349" s="584"/>
      <c r="V349" s="584"/>
      <c r="W349" s="584"/>
      <c r="X349" s="584"/>
      <c r="Y349" s="584"/>
      <c r="Z349" s="584"/>
      <c r="AA349" s="584"/>
      <c r="AB349" s="584"/>
      <c r="AC349" s="92"/>
      <c r="AD349" s="93"/>
      <c r="AE349" s="637" t="s">
        <v>500</v>
      </c>
      <c r="AF349" s="637"/>
      <c r="AG349" s="584" t="s">
        <v>481</v>
      </c>
      <c r="AH349" s="584"/>
      <c r="AI349" s="584"/>
      <c r="AJ349" s="584"/>
      <c r="AK349" s="584"/>
      <c r="AL349" s="584"/>
      <c r="AM349" s="584"/>
      <c r="AN349" s="584"/>
      <c r="AO349" s="584"/>
      <c r="AP349" s="584"/>
    </row>
    <row r="350" spans="1:45" ht="29.25" customHeight="1" x14ac:dyDescent="0.4">
      <c r="C350" s="636" t="s">
        <v>485</v>
      </c>
      <c r="D350" s="636"/>
      <c r="E350" s="709" t="s">
        <v>474</v>
      </c>
      <c r="F350" s="709"/>
      <c r="G350" s="709"/>
      <c r="H350" s="709"/>
      <c r="I350" s="709"/>
      <c r="J350" s="709"/>
      <c r="K350" s="709"/>
      <c r="L350" s="709"/>
      <c r="M350" s="709"/>
      <c r="N350" s="709"/>
      <c r="O350" s="94"/>
      <c r="P350" s="94"/>
      <c r="Q350" s="637" t="s">
        <v>493</v>
      </c>
      <c r="R350" s="637"/>
      <c r="S350" s="584" t="s">
        <v>478</v>
      </c>
      <c r="T350" s="584"/>
      <c r="U350" s="584"/>
      <c r="V350" s="584"/>
      <c r="W350" s="584"/>
      <c r="X350" s="584"/>
      <c r="Y350" s="584"/>
      <c r="Z350" s="584"/>
      <c r="AA350" s="584"/>
      <c r="AB350" s="584"/>
      <c r="AC350" s="92"/>
      <c r="AD350" s="93"/>
      <c r="AE350" s="636" t="s">
        <v>502</v>
      </c>
      <c r="AF350" s="636"/>
      <c r="AG350" s="709" t="s">
        <v>482</v>
      </c>
      <c r="AH350" s="709"/>
      <c r="AI350" s="709"/>
      <c r="AJ350" s="709"/>
      <c r="AK350" s="709"/>
      <c r="AL350" s="709"/>
      <c r="AM350" s="709"/>
      <c r="AN350" s="709"/>
      <c r="AO350" s="709"/>
      <c r="AP350" s="709"/>
    </row>
    <row r="351" spans="1:45" ht="29.25" customHeight="1" x14ac:dyDescent="0.4">
      <c r="C351" s="637" t="s">
        <v>487</v>
      </c>
      <c r="D351" s="637"/>
      <c r="E351" s="584" t="s">
        <v>475</v>
      </c>
      <c r="F351" s="584"/>
      <c r="G351" s="584"/>
      <c r="H351" s="584"/>
      <c r="I351" s="584"/>
      <c r="J351" s="584"/>
      <c r="K351" s="584"/>
      <c r="L351" s="584"/>
      <c r="M351" s="584"/>
      <c r="N351" s="584"/>
      <c r="O351" s="94"/>
      <c r="P351" s="94"/>
      <c r="Q351" s="637" t="s">
        <v>495</v>
      </c>
      <c r="R351" s="637"/>
      <c r="S351" s="584" t="s">
        <v>479</v>
      </c>
      <c r="T351" s="584"/>
      <c r="U351" s="584"/>
      <c r="V351" s="584"/>
      <c r="W351" s="584"/>
      <c r="X351" s="584"/>
      <c r="Y351" s="584"/>
      <c r="Z351" s="584"/>
      <c r="AA351" s="584"/>
      <c r="AB351" s="584"/>
      <c r="AC351" s="92"/>
      <c r="AD351" s="93"/>
      <c r="AE351" s="710" t="s">
        <v>506</v>
      </c>
      <c r="AF351" s="710"/>
      <c r="AG351" s="638" t="s">
        <v>551</v>
      </c>
      <c r="AH351" s="638"/>
      <c r="AI351" s="638"/>
      <c r="AJ351" s="638"/>
      <c r="AK351" s="638"/>
      <c r="AL351" s="638"/>
      <c r="AM351" s="638"/>
      <c r="AN351" s="638"/>
      <c r="AO351" s="638"/>
      <c r="AP351" s="638"/>
    </row>
    <row r="352" spans="1:45" ht="29.25" customHeight="1" x14ac:dyDescent="0.4">
      <c r="B352" s="102"/>
      <c r="C352" s="636" t="s">
        <v>489</v>
      </c>
      <c r="D352" s="636"/>
      <c r="E352" s="709" t="s">
        <v>476</v>
      </c>
      <c r="F352" s="709"/>
      <c r="G352" s="709"/>
      <c r="H352" s="709"/>
      <c r="I352" s="709"/>
      <c r="J352" s="709"/>
      <c r="K352" s="709"/>
      <c r="L352" s="709"/>
      <c r="M352" s="709"/>
      <c r="N352" s="709"/>
      <c r="O352" s="94"/>
      <c r="P352" s="94"/>
      <c r="Q352" s="637" t="s">
        <v>497</v>
      </c>
      <c r="R352" s="637"/>
      <c r="S352" s="584" t="s">
        <v>480</v>
      </c>
      <c r="T352" s="584"/>
      <c r="U352" s="584"/>
      <c r="V352" s="584"/>
      <c r="W352" s="584"/>
      <c r="X352" s="584"/>
      <c r="Y352" s="584"/>
      <c r="Z352" s="584"/>
      <c r="AA352" s="584"/>
      <c r="AB352" s="584"/>
      <c r="AC352" s="92"/>
      <c r="AD352" s="94"/>
      <c r="AE352" s="710" t="s">
        <v>507</v>
      </c>
      <c r="AF352" s="710"/>
      <c r="AG352" s="638" t="s">
        <v>552</v>
      </c>
      <c r="AH352" s="638"/>
      <c r="AI352" s="638"/>
      <c r="AJ352" s="638"/>
      <c r="AK352" s="638"/>
      <c r="AL352" s="638"/>
      <c r="AM352" s="638"/>
      <c r="AN352" s="638"/>
      <c r="AO352" s="638"/>
      <c r="AP352" s="638"/>
    </row>
    <row r="353" spans="2:47" ht="30.75" customHeight="1" x14ac:dyDescent="0.4"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4"/>
      <c r="P353" s="94"/>
      <c r="Q353" s="93"/>
      <c r="R353" s="93"/>
      <c r="S353" s="93"/>
      <c r="T353" s="93"/>
      <c r="U353" s="93"/>
      <c r="V353" s="93"/>
      <c r="W353" s="93"/>
      <c r="X353" s="93"/>
      <c r="Y353" s="93"/>
      <c r="Z353" s="93"/>
      <c r="AA353" s="93"/>
      <c r="AB353" s="93"/>
      <c r="AC353" s="92"/>
      <c r="AD353" s="93"/>
      <c r="AE353" s="710" t="s">
        <v>509</v>
      </c>
      <c r="AF353" s="710"/>
      <c r="AG353" s="638" t="s">
        <v>556</v>
      </c>
      <c r="AH353" s="638"/>
      <c r="AI353" s="638"/>
      <c r="AJ353" s="638"/>
      <c r="AK353" s="638"/>
      <c r="AL353" s="638"/>
      <c r="AM353" s="638"/>
      <c r="AN353" s="638"/>
      <c r="AO353" s="638"/>
      <c r="AP353" s="638"/>
    </row>
    <row r="354" spans="2:47" ht="6" customHeight="1" x14ac:dyDescent="0.4">
      <c r="C354" s="117"/>
      <c r="D354" s="140"/>
      <c r="E354" s="140"/>
      <c r="F354" s="140"/>
      <c r="G354" s="140"/>
      <c r="H354" s="140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140"/>
      <c r="U354" s="94"/>
      <c r="V354" s="140"/>
      <c r="W354" s="94"/>
      <c r="X354" s="140"/>
      <c r="Y354" s="94"/>
      <c r="Z354" s="140"/>
      <c r="AA354" s="94"/>
      <c r="AB354" s="140"/>
      <c r="AC354" s="140"/>
      <c r="AD354" s="93"/>
      <c r="AE354" s="93"/>
      <c r="AF354" s="93"/>
      <c r="AG354" s="93"/>
      <c r="AH354" s="93"/>
      <c r="AI354" s="93"/>
      <c r="AJ354" s="93"/>
      <c r="AK354" s="93"/>
      <c r="AL354" s="93"/>
      <c r="AM354" s="93"/>
      <c r="AN354" s="93"/>
      <c r="AO354" s="93"/>
      <c r="AP354" s="93"/>
    </row>
    <row r="355" spans="2:47" ht="21" customHeight="1" x14ac:dyDescent="0.4">
      <c r="B355" s="118" t="str">
        <f ca="1">IF(B357="①","【監督会議 8：20～】","【監督会議 12：50～】")</f>
        <v>【監督会議 8：20～】</v>
      </c>
      <c r="I355" s="96" t="s">
        <v>330</v>
      </c>
    </row>
    <row r="356" spans="2:47" ht="20.25" customHeight="1" x14ac:dyDescent="0.4">
      <c r="B356" s="97"/>
      <c r="C356" s="711" t="s">
        <v>3</v>
      </c>
      <c r="D356" s="711"/>
      <c r="E356" s="711"/>
      <c r="F356" s="712" t="s">
        <v>4</v>
      </c>
      <c r="G356" s="712"/>
      <c r="H356" s="712"/>
      <c r="I356" s="712"/>
      <c r="J356" s="711" t="s">
        <v>5</v>
      </c>
      <c r="K356" s="713"/>
      <c r="L356" s="713"/>
      <c r="M356" s="713"/>
      <c r="N356" s="713"/>
      <c r="O356" s="713"/>
      <c r="P356" s="713"/>
      <c r="Q356" s="711" t="s">
        <v>32</v>
      </c>
      <c r="R356" s="711"/>
      <c r="S356" s="711"/>
      <c r="T356" s="711"/>
      <c r="U356" s="711"/>
      <c r="V356" s="711"/>
      <c r="W356" s="711"/>
      <c r="X356" s="711" t="s">
        <v>5</v>
      </c>
      <c r="Y356" s="713"/>
      <c r="Z356" s="713"/>
      <c r="AA356" s="713"/>
      <c r="AB356" s="713"/>
      <c r="AC356" s="713"/>
      <c r="AD356" s="713"/>
      <c r="AE356" s="712" t="s">
        <v>4</v>
      </c>
      <c r="AF356" s="712"/>
      <c r="AG356" s="712"/>
      <c r="AH356" s="712"/>
      <c r="AI356" s="711" t="s">
        <v>6</v>
      </c>
      <c r="AJ356" s="711"/>
      <c r="AK356" s="713"/>
      <c r="AL356" s="713"/>
      <c r="AM356" s="713"/>
      <c r="AN356" s="713"/>
      <c r="AO356" s="713"/>
      <c r="AP356" s="713"/>
      <c r="AU356" s="102"/>
    </row>
    <row r="357" spans="2:47" ht="20.100000000000001" customHeight="1" x14ac:dyDescent="0.4">
      <c r="B357" s="644" t="str">
        <f ca="1">DBCS(INDIRECT("U12対戦スケジュール!A"&amp;(ROW()-1)/2-82))</f>
        <v>①</v>
      </c>
      <c r="C357" s="645">
        <f ca="1">INDIRECT("U12対戦スケジュール!B"&amp;(ROW()-1)/2-82)</f>
        <v>0.375</v>
      </c>
      <c r="D357" s="646"/>
      <c r="E357" s="647"/>
      <c r="F357" s="583"/>
      <c r="G357" s="583"/>
      <c r="H357" s="583"/>
      <c r="I357" s="583"/>
      <c r="J357" s="636" t="str">
        <f ca="1">VLOOKUP(AR357,U12組合せ!B$10:E$19,3,TRUE)</f>
        <v>石井ＦＣ</v>
      </c>
      <c r="K357" s="637"/>
      <c r="L357" s="637"/>
      <c r="M357" s="637"/>
      <c r="N357" s="637"/>
      <c r="O357" s="637"/>
      <c r="P357" s="637"/>
      <c r="Q357" s="635" t="str">
        <f>IF(OR(S357="",S358=""),"",S357+S358)</f>
        <v/>
      </c>
      <c r="R357" s="635"/>
      <c r="S357" s="98"/>
      <c r="T357" s="99" t="s">
        <v>7</v>
      </c>
      <c r="U357" s="98"/>
      <c r="V357" s="635" t="str">
        <f>IF(OR(U357="",U358=""),"",U357+U358)</f>
        <v/>
      </c>
      <c r="W357" s="635"/>
      <c r="X357" s="636" t="str">
        <f ca="1">VLOOKUP(AS357,U12組合せ!B$10:E$19,3,TRUE)</f>
        <v>FCアネーロ・U-12</v>
      </c>
      <c r="Y357" s="637"/>
      <c r="Z357" s="637"/>
      <c r="AA357" s="637"/>
      <c r="AB357" s="637"/>
      <c r="AC357" s="637"/>
      <c r="AD357" s="637"/>
      <c r="AE357" s="583"/>
      <c r="AF357" s="583"/>
      <c r="AG357" s="583"/>
      <c r="AH357" s="583"/>
      <c r="AI357" s="634" t="str">
        <f ca="1">DBCS(INDIRECT("U12対戦スケジュール!F"&amp;(ROW()-1)/2-82))</f>
        <v>Ａ４／Ｂ１／Ｂ６／Ａ４</v>
      </c>
      <c r="AJ357" s="583"/>
      <c r="AK357" s="583"/>
      <c r="AL357" s="583"/>
      <c r="AM357" s="583"/>
      <c r="AN357" s="583"/>
      <c r="AO357" s="583"/>
      <c r="AP357" s="583"/>
      <c r="AR357" s="119">
        <f ca="1">INDIRECT("U12対戦スケジュール!ｃ"&amp;(ROW()-1)/2-82)</f>
        <v>2</v>
      </c>
      <c r="AS357" s="119">
        <f ca="1">INDIRECT("U12対戦スケジュール!E"&amp;(ROW()-1)/2-82)</f>
        <v>10</v>
      </c>
      <c r="AT357" s="119"/>
      <c r="AU357" s="102"/>
    </row>
    <row r="358" spans="2:47" ht="20.100000000000001" customHeight="1" x14ac:dyDescent="0.4">
      <c r="B358" s="644"/>
      <c r="C358" s="648"/>
      <c r="D358" s="649"/>
      <c r="E358" s="650"/>
      <c r="F358" s="583"/>
      <c r="G358" s="583"/>
      <c r="H358" s="583"/>
      <c r="I358" s="583"/>
      <c r="J358" s="637"/>
      <c r="K358" s="637"/>
      <c r="L358" s="637"/>
      <c r="M358" s="637"/>
      <c r="N358" s="637"/>
      <c r="O358" s="637"/>
      <c r="P358" s="637"/>
      <c r="Q358" s="635"/>
      <c r="R358" s="635"/>
      <c r="S358" s="98"/>
      <c r="T358" s="99" t="s">
        <v>7</v>
      </c>
      <c r="U358" s="98"/>
      <c r="V358" s="635"/>
      <c r="W358" s="635"/>
      <c r="X358" s="637"/>
      <c r="Y358" s="637"/>
      <c r="Z358" s="637"/>
      <c r="AA358" s="637"/>
      <c r="AB358" s="637"/>
      <c r="AC358" s="637"/>
      <c r="AD358" s="637"/>
      <c r="AE358" s="583"/>
      <c r="AF358" s="583"/>
      <c r="AG358" s="583"/>
      <c r="AH358" s="583"/>
      <c r="AI358" s="583"/>
      <c r="AJ358" s="583"/>
      <c r="AK358" s="583"/>
      <c r="AL358" s="583"/>
      <c r="AM358" s="583"/>
      <c r="AN358" s="583"/>
      <c r="AO358" s="583"/>
      <c r="AP358" s="583"/>
      <c r="AR358" s="119"/>
      <c r="AS358" s="119"/>
      <c r="AU358" s="102"/>
    </row>
    <row r="359" spans="2:47" ht="20.100000000000001" customHeight="1" x14ac:dyDescent="0.4">
      <c r="B359" s="644" t="str">
        <f ca="1">DBCS(INDIRECT("U12対戦スケジュール!A"&amp;(ROW()-1)/2-82))</f>
        <v>②</v>
      </c>
      <c r="C359" s="645">
        <f ca="1">INDIRECT("U12対戦スケジュール!B"&amp;(ROW()-1)/2-82)</f>
        <v>0.41699999999999998</v>
      </c>
      <c r="D359" s="646"/>
      <c r="E359" s="647"/>
      <c r="F359" s="583"/>
      <c r="G359" s="583"/>
      <c r="H359" s="583"/>
      <c r="I359" s="583"/>
      <c r="J359" s="636" t="str">
        <f ca="1">VLOOKUP(AR359,U12組合せ!B$10:E$19,3,TRUE)</f>
        <v>ＳＵＧＡＯ・ＳＣ</v>
      </c>
      <c r="K359" s="637"/>
      <c r="L359" s="637"/>
      <c r="M359" s="637"/>
      <c r="N359" s="637"/>
      <c r="O359" s="637"/>
      <c r="P359" s="637"/>
      <c r="Q359" s="635" t="str">
        <f>IF(OR(S359="",S360=""),"",S359+S360)</f>
        <v/>
      </c>
      <c r="R359" s="635"/>
      <c r="S359" s="98"/>
      <c r="T359" s="99" t="s">
        <v>7</v>
      </c>
      <c r="U359" s="98"/>
      <c r="V359" s="635" t="str">
        <f>IF(OR(U359="",U360=""),"",U359+U360)</f>
        <v/>
      </c>
      <c r="W359" s="635"/>
      <c r="X359" s="636" t="str">
        <f ca="1">VLOOKUP(AS359,U12組合せ!B$10:E$19,3,TRUE)</f>
        <v>FCアネーロ・U-12</v>
      </c>
      <c r="Y359" s="637"/>
      <c r="Z359" s="637"/>
      <c r="AA359" s="637"/>
      <c r="AB359" s="637"/>
      <c r="AC359" s="637"/>
      <c r="AD359" s="637"/>
      <c r="AE359" s="583"/>
      <c r="AF359" s="583"/>
      <c r="AG359" s="583"/>
      <c r="AH359" s="583"/>
      <c r="AI359" s="634" t="str">
        <f ca="1">DBCS(INDIRECT("U12対戦スケジュール!F"&amp;(ROW()-1)/2-82))</f>
        <v>Ａ２／Ｂ６／Ｂ８／Ａ２</v>
      </c>
      <c r="AJ359" s="583"/>
      <c r="AK359" s="583"/>
      <c r="AL359" s="583"/>
      <c r="AM359" s="583"/>
      <c r="AN359" s="583"/>
      <c r="AO359" s="583"/>
      <c r="AP359" s="583"/>
      <c r="AR359" s="119">
        <f ca="1">INDIRECT("U12対戦スケジュール!ｃ"&amp;(ROW()-1)/2-82)</f>
        <v>4</v>
      </c>
      <c r="AS359" s="119">
        <f ca="1">INDIRECT("U12対戦スケジュール!E"&amp;(ROW()-1)/2-82)</f>
        <v>10</v>
      </c>
      <c r="AU359" s="102"/>
    </row>
    <row r="360" spans="2:47" ht="20.100000000000001" customHeight="1" x14ac:dyDescent="0.4">
      <c r="B360" s="644"/>
      <c r="C360" s="648"/>
      <c r="D360" s="649"/>
      <c r="E360" s="650"/>
      <c r="F360" s="583"/>
      <c r="G360" s="583"/>
      <c r="H360" s="583"/>
      <c r="I360" s="583"/>
      <c r="J360" s="637"/>
      <c r="K360" s="637"/>
      <c r="L360" s="637"/>
      <c r="M360" s="637"/>
      <c r="N360" s="637"/>
      <c r="O360" s="637"/>
      <c r="P360" s="637"/>
      <c r="Q360" s="635"/>
      <c r="R360" s="635"/>
      <c r="S360" s="98"/>
      <c r="T360" s="99" t="s">
        <v>7</v>
      </c>
      <c r="U360" s="98"/>
      <c r="V360" s="635"/>
      <c r="W360" s="635"/>
      <c r="X360" s="637"/>
      <c r="Y360" s="637"/>
      <c r="Z360" s="637"/>
      <c r="AA360" s="637"/>
      <c r="AB360" s="637"/>
      <c r="AC360" s="637"/>
      <c r="AD360" s="637"/>
      <c r="AE360" s="583"/>
      <c r="AF360" s="583"/>
      <c r="AG360" s="583"/>
      <c r="AH360" s="583"/>
      <c r="AI360" s="583"/>
      <c r="AJ360" s="583"/>
      <c r="AK360" s="583"/>
      <c r="AL360" s="583"/>
      <c r="AM360" s="583"/>
      <c r="AN360" s="583"/>
      <c r="AO360" s="583"/>
      <c r="AP360" s="583"/>
      <c r="AR360" s="119"/>
      <c r="AS360" s="119"/>
    </row>
    <row r="361" spans="2:47" ht="20.100000000000001" customHeight="1" x14ac:dyDescent="0.4">
      <c r="B361" s="644"/>
      <c r="C361" s="645"/>
      <c r="D361" s="646"/>
      <c r="E361" s="647"/>
      <c r="F361" s="583"/>
      <c r="G361" s="583"/>
      <c r="H361" s="583"/>
      <c r="I361" s="583"/>
      <c r="J361" s="636"/>
      <c r="K361" s="637"/>
      <c r="L361" s="637"/>
      <c r="M361" s="637"/>
      <c r="N361" s="637"/>
      <c r="O361" s="637"/>
      <c r="P361" s="637"/>
      <c r="Q361" s="635"/>
      <c r="R361" s="635"/>
      <c r="S361" s="98"/>
      <c r="T361" s="99"/>
      <c r="U361" s="98"/>
      <c r="V361" s="635"/>
      <c r="W361" s="635"/>
      <c r="X361" s="636"/>
      <c r="Y361" s="637"/>
      <c r="Z361" s="637"/>
      <c r="AA361" s="637"/>
      <c r="AB361" s="637"/>
      <c r="AC361" s="637"/>
      <c r="AD361" s="637"/>
      <c r="AE361" s="583"/>
      <c r="AF361" s="583"/>
      <c r="AG361" s="583"/>
      <c r="AH361" s="583"/>
      <c r="AI361" s="634"/>
      <c r="AJ361" s="583"/>
      <c r="AK361" s="583"/>
      <c r="AL361" s="583"/>
      <c r="AM361" s="583"/>
      <c r="AN361" s="583"/>
      <c r="AO361" s="583"/>
      <c r="AP361" s="583"/>
      <c r="AR361" s="119"/>
      <c r="AS361" s="119"/>
    </row>
    <row r="362" spans="2:47" ht="20.100000000000001" customHeight="1" x14ac:dyDescent="0.4">
      <c r="B362" s="644"/>
      <c r="C362" s="648"/>
      <c r="D362" s="649"/>
      <c r="E362" s="650"/>
      <c r="F362" s="583"/>
      <c r="G362" s="583"/>
      <c r="H362" s="583"/>
      <c r="I362" s="583"/>
      <c r="J362" s="637"/>
      <c r="K362" s="637"/>
      <c r="L362" s="637"/>
      <c r="M362" s="637"/>
      <c r="N362" s="637"/>
      <c r="O362" s="637"/>
      <c r="P362" s="637"/>
      <c r="Q362" s="635"/>
      <c r="R362" s="635"/>
      <c r="S362" s="98"/>
      <c r="T362" s="99"/>
      <c r="U362" s="98"/>
      <c r="V362" s="635"/>
      <c r="W362" s="635"/>
      <c r="X362" s="637"/>
      <c r="Y362" s="637"/>
      <c r="Z362" s="637"/>
      <c r="AA362" s="637"/>
      <c r="AB362" s="637"/>
      <c r="AC362" s="637"/>
      <c r="AD362" s="637"/>
      <c r="AE362" s="583"/>
      <c r="AF362" s="583"/>
      <c r="AG362" s="583"/>
      <c r="AH362" s="583"/>
      <c r="AI362" s="583"/>
      <c r="AJ362" s="583"/>
      <c r="AK362" s="583"/>
      <c r="AL362" s="583"/>
      <c r="AM362" s="583"/>
      <c r="AN362" s="583"/>
      <c r="AO362" s="583"/>
      <c r="AP362" s="583"/>
      <c r="AR362" s="119"/>
      <c r="AS362" s="119"/>
    </row>
    <row r="363" spans="2:47" ht="20.100000000000001" customHeight="1" x14ac:dyDescent="0.4">
      <c r="B363" s="644"/>
      <c r="C363" s="645"/>
      <c r="D363" s="646"/>
      <c r="E363" s="647"/>
      <c r="F363" s="704"/>
      <c r="G363" s="704"/>
      <c r="H363" s="704"/>
      <c r="I363" s="704"/>
      <c r="J363" s="701"/>
      <c r="K363" s="702"/>
      <c r="L363" s="702"/>
      <c r="M363" s="702"/>
      <c r="N363" s="702"/>
      <c r="O363" s="702"/>
      <c r="P363" s="702"/>
      <c r="Q363" s="705"/>
      <c r="R363" s="705"/>
      <c r="S363" s="109"/>
      <c r="T363" s="110"/>
      <c r="U363" s="109"/>
      <c r="V363" s="705"/>
      <c r="W363" s="705"/>
      <c r="X363" s="701"/>
      <c r="Y363" s="702"/>
      <c r="Z363" s="702"/>
      <c r="AA363" s="702"/>
      <c r="AB363" s="702"/>
      <c r="AC363" s="702"/>
      <c r="AD363" s="702"/>
      <c r="AE363" s="704"/>
      <c r="AF363" s="704"/>
      <c r="AG363" s="704"/>
      <c r="AH363" s="704"/>
      <c r="AI363" s="706"/>
      <c r="AJ363" s="707"/>
      <c r="AK363" s="707"/>
      <c r="AL363" s="707"/>
      <c r="AM363" s="707"/>
      <c r="AN363" s="707"/>
      <c r="AO363" s="707"/>
      <c r="AP363" s="707"/>
      <c r="AR363" s="119"/>
      <c r="AS363" s="119"/>
    </row>
    <row r="364" spans="2:47" ht="20.100000000000001" customHeight="1" x14ac:dyDescent="0.4">
      <c r="B364" s="644"/>
      <c r="C364" s="648"/>
      <c r="D364" s="649"/>
      <c r="E364" s="650"/>
      <c r="F364" s="583"/>
      <c r="G364" s="583"/>
      <c r="H364" s="583"/>
      <c r="I364" s="583"/>
      <c r="J364" s="703"/>
      <c r="K364" s="703"/>
      <c r="L364" s="703"/>
      <c r="M364" s="703"/>
      <c r="N364" s="703"/>
      <c r="O364" s="703"/>
      <c r="P364" s="703"/>
      <c r="Q364" s="634"/>
      <c r="R364" s="634"/>
      <c r="S364" s="100"/>
      <c r="T364" s="101"/>
      <c r="U364" s="100"/>
      <c r="V364" s="634"/>
      <c r="W364" s="634"/>
      <c r="X364" s="703"/>
      <c r="Y364" s="703"/>
      <c r="Z364" s="703"/>
      <c r="AA364" s="703"/>
      <c r="AB364" s="703"/>
      <c r="AC364" s="703"/>
      <c r="AD364" s="703"/>
      <c r="AE364" s="583"/>
      <c r="AF364" s="583"/>
      <c r="AG364" s="583"/>
      <c r="AH364" s="583"/>
      <c r="AI364" s="708"/>
      <c r="AJ364" s="708"/>
      <c r="AK364" s="708"/>
      <c r="AL364" s="708"/>
      <c r="AM364" s="708"/>
      <c r="AN364" s="708"/>
      <c r="AO364" s="708"/>
      <c r="AP364" s="708"/>
      <c r="AR364" s="119"/>
      <c r="AS364" s="119"/>
    </row>
    <row r="365" spans="2:47" ht="20.100000000000001" customHeight="1" x14ac:dyDescent="0.4">
      <c r="B365" s="585"/>
      <c r="C365" s="587"/>
      <c r="D365" s="588"/>
      <c r="E365" s="589"/>
      <c r="F365" s="622"/>
      <c r="G365" s="623"/>
      <c r="H365" s="623"/>
      <c r="I365" s="624"/>
      <c r="J365" s="689"/>
      <c r="K365" s="690"/>
      <c r="L365" s="690"/>
      <c r="M365" s="690"/>
      <c r="N365" s="690"/>
      <c r="O365" s="690"/>
      <c r="P365" s="691"/>
      <c r="Q365" s="628"/>
      <c r="R365" s="630"/>
      <c r="S365" s="100"/>
      <c r="T365" s="101"/>
      <c r="U365" s="100"/>
      <c r="V365" s="628"/>
      <c r="W365" s="630"/>
      <c r="X365" s="695"/>
      <c r="Y365" s="696"/>
      <c r="Z365" s="696"/>
      <c r="AA365" s="696"/>
      <c r="AB365" s="696"/>
      <c r="AC365" s="696"/>
      <c r="AD365" s="697"/>
      <c r="AE365" s="622"/>
      <c r="AF365" s="623"/>
      <c r="AG365" s="623"/>
      <c r="AH365" s="624"/>
      <c r="AI365" s="628"/>
      <c r="AJ365" s="629"/>
      <c r="AK365" s="629"/>
      <c r="AL365" s="629"/>
      <c r="AM365" s="629"/>
      <c r="AN365" s="629"/>
      <c r="AO365" s="629"/>
      <c r="AP365" s="630"/>
    </row>
    <row r="366" spans="2:47" ht="20.100000000000001" customHeight="1" x14ac:dyDescent="0.4">
      <c r="B366" s="586"/>
      <c r="C366" s="590"/>
      <c r="D366" s="591"/>
      <c r="E366" s="592"/>
      <c r="F366" s="625"/>
      <c r="G366" s="626"/>
      <c r="H366" s="626"/>
      <c r="I366" s="627"/>
      <c r="J366" s="692"/>
      <c r="K366" s="693"/>
      <c r="L366" s="693"/>
      <c r="M366" s="693"/>
      <c r="N366" s="693"/>
      <c r="O366" s="693"/>
      <c r="P366" s="694"/>
      <c r="Q366" s="631"/>
      <c r="R366" s="633"/>
      <c r="S366" s="100"/>
      <c r="T366" s="101"/>
      <c r="U366" s="100"/>
      <c r="V366" s="631"/>
      <c r="W366" s="633"/>
      <c r="X366" s="698"/>
      <c r="Y366" s="699"/>
      <c r="Z366" s="699"/>
      <c r="AA366" s="699"/>
      <c r="AB366" s="699"/>
      <c r="AC366" s="699"/>
      <c r="AD366" s="700"/>
      <c r="AE366" s="625"/>
      <c r="AF366" s="626"/>
      <c r="AG366" s="626"/>
      <c r="AH366" s="627"/>
      <c r="AI366" s="631"/>
      <c r="AJ366" s="632"/>
      <c r="AK366" s="632"/>
      <c r="AL366" s="632"/>
      <c r="AM366" s="632"/>
      <c r="AN366" s="632"/>
      <c r="AO366" s="632"/>
      <c r="AP366" s="633"/>
    </row>
    <row r="367" spans="2:47" ht="20.100000000000001" customHeight="1" x14ac:dyDescent="0.4">
      <c r="B367" s="585"/>
      <c r="C367" s="587"/>
      <c r="D367" s="588"/>
      <c r="E367" s="589"/>
      <c r="F367" s="622"/>
      <c r="G367" s="623"/>
      <c r="H367" s="623"/>
      <c r="I367" s="624"/>
      <c r="J367" s="689"/>
      <c r="K367" s="690"/>
      <c r="L367" s="690"/>
      <c r="M367" s="690"/>
      <c r="N367" s="690"/>
      <c r="O367" s="690"/>
      <c r="P367" s="691"/>
      <c r="Q367" s="628"/>
      <c r="R367" s="630"/>
      <c r="S367" s="100"/>
      <c r="T367" s="101"/>
      <c r="U367" s="100"/>
      <c r="V367" s="628"/>
      <c r="W367" s="630"/>
      <c r="X367" s="695"/>
      <c r="Y367" s="696"/>
      <c r="Z367" s="696"/>
      <c r="AA367" s="696"/>
      <c r="AB367" s="696"/>
      <c r="AC367" s="696"/>
      <c r="AD367" s="697"/>
      <c r="AE367" s="622"/>
      <c r="AF367" s="623"/>
      <c r="AG367" s="623"/>
      <c r="AH367" s="624"/>
      <c r="AI367" s="628"/>
      <c r="AJ367" s="629"/>
      <c r="AK367" s="629"/>
      <c r="AL367" s="629"/>
      <c r="AM367" s="629"/>
      <c r="AN367" s="629"/>
      <c r="AO367" s="629"/>
      <c r="AP367" s="630"/>
    </row>
    <row r="368" spans="2:47" ht="20.100000000000001" customHeight="1" x14ac:dyDescent="0.4">
      <c r="B368" s="586"/>
      <c r="C368" s="590"/>
      <c r="D368" s="591"/>
      <c r="E368" s="592"/>
      <c r="F368" s="625"/>
      <c r="G368" s="626"/>
      <c r="H368" s="626"/>
      <c r="I368" s="627"/>
      <c r="J368" s="692"/>
      <c r="K368" s="693"/>
      <c r="L368" s="693"/>
      <c r="M368" s="693"/>
      <c r="N368" s="693"/>
      <c r="O368" s="693"/>
      <c r="P368" s="694"/>
      <c r="Q368" s="631"/>
      <c r="R368" s="633"/>
      <c r="S368" s="100"/>
      <c r="T368" s="101"/>
      <c r="U368" s="100"/>
      <c r="V368" s="631"/>
      <c r="W368" s="633"/>
      <c r="X368" s="698"/>
      <c r="Y368" s="699"/>
      <c r="Z368" s="699"/>
      <c r="AA368" s="699"/>
      <c r="AB368" s="699"/>
      <c r="AC368" s="699"/>
      <c r="AD368" s="700"/>
      <c r="AE368" s="625"/>
      <c r="AF368" s="626"/>
      <c r="AG368" s="626"/>
      <c r="AH368" s="627"/>
      <c r="AI368" s="631"/>
      <c r="AJ368" s="632"/>
      <c r="AK368" s="632"/>
      <c r="AL368" s="632"/>
      <c r="AM368" s="632"/>
      <c r="AN368" s="632"/>
      <c r="AO368" s="632"/>
      <c r="AP368" s="633"/>
    </row>
    <row r="369" spans="1:45" ht="20.100000000000001" customHeight="1" x14ac:dyDescent="0.4">
      <c r="B369" s="585"/>
      <c r="C369" s="587"/>
      <c r="D369" s="588"/>
      <c r="E369" s="589"/>
      <c r="F369" s="622"/>
      <c r="G369" s="623"/>
      <c r="H369" s="623"/>
      <c r="I369" s="624"/>
      <c r="J369" s="689"/>
      <c r="K369" s="690"/>
      <c r="L369" s="690"/>
      <c r="M369" s="690"/>
      <c r="N369" s="690"/>
      <c r="O369" s="690"/>
      <c r="P369" s="691"/>
      <c r="Q369" s="628"/>
      <c r="R369" s="630"/>
      <c r="S369" s="100"/>
      <c r="T369" s="101"/>
      <c r="U369" s="100"/>
      <c r="V369" s="628"/>
      <c r="W369" s="630"/>
      <c r="X369" s="695"/>
      <c r="Y369" s="696"/>
      <c r="Z369" s="696"/>
      <c r="AA369" s="696"/>
      <c r="AB369" s="696"/>
      <c r="AC369" s="696"/>
      <c r="AD369" s="697"/>
      <c r="AE369" s="622"/>
      <c r="AF369" s="623"/>
      <c r="AG369" s="623"/>
      <c r="AH369" s="624"/>
      <c r="AI369" s="628"/>
      <c r="AJ369" s="629"/>
      <c r="AK369" s="629"/>
      <c r="AL369" s="629"/>
      <c r="AM369" s="629"/>
      <c r="AN369" s="629"/>
      <c r="AO369" s="629"/>
      <c r="AP369" s="630"/>
    </row>
    <row r="370" spans="1:45" ht="20.100000000000001" customHeight="1" x14ac:dyDescent="0.4">
      <c r="B370" s="586"/>
      <c r="C370" s="590"/>
      <c r="D370" s="591"/>
      <c r="E370" s="592"/>
      <c r="F370" s="625"/>
      <c r="G370" s="626"/>
      <c r="H370" s="626"/>
      <c r="I370" s="627"/>
      <c r="J370" s="692"/>
      <c r="K370" s="693"/>
      <c r="L370" s="693"/>
      <c r="M370" s="693"/>
      <c r="N370" s="693"/>
      <c r="O370" s="693"/>
      <c r="P370" s="694"/>
      <c r="Q370" s="631"/>
      <c r="R370" s="633"/>
      <c r="S370" s="100"/>
      <c r="T370" s="101"/>
      <c r="U370" s="100"/>
      <c r="V370" s="631"/>
      <c r="W370" s="633"/>
      <c r="X370" s="698"/>
      <c r="Y370" s="699"/>
      <c r="Z370" s="699"/>
      <c r="AA370" s="699"/>
      <c r="AB370" s="699"/>
      <c r="AC370" s="699"/>
      <c r="AD370" s="700"/>
      <c r="AE370" s="625"/>
      <c r="AF370" s="626"/>
      <c r="AG370" s="626"/>
      <c r="AH370" s="627"/>
      <c r="AI370" s="631"/>
      <c r="AJ370" s="632"/>
      <c r="AK370" s="632"/>
      <c r="AL370" s="632"/>
      <c r="AM370" s="632"/>
      <c r="AN370" s="632"/>
      <c r="AO370" s="632"/>
      <c r="AP370" s="633"/>
    </row>
    <row r="371" spans="1:45" ht="15.75" customHeight="1" thickBot="1" x14ac:dyDescent="0.45">
      <c r="A371" s="102"/>
      <c r="B371" s="103"/>
      <c r="C371" s="104"/>
      <c r="D371" s="104"/>
      <c r="E371" s="104"/>
      <c r="F371" s="103"/>
      <c r="G371" s="103"/>
      <c r="H371" s="103"/>
      <c r="I371" s="103"/>
      <c r="J371" s="103"/>
      <c r="K371" s="105"/>
      <c r="L371" s="105"/>
      <c r="M371" s="106"/>
      <c r="N371" s="107"/>
      <c r="O371" s="106"/>
      <c r="P371" s="105"/>
      <c r="Q371" s="105"/>
      <c r="R371" s="103"/>
      <c r="S371" s="103"/>
      <c r="T371" s="103"/>
      <c r="U371" s="103"/>
      <c r="V371" s="103"/>
      <c r="W371" s="108"/>
      <c r="X371" s="108"/>
      <c r="Y371" s="108"/>
      <c r="Z371" s="108"/>
      <c r="AA371" s="108"/>
      <c r="AB371" s="108"/>
      <c r="AC371" s="102"/>
    </row>
    <row r="372" spans="1:45" ht="20.25" customHeight="1" thickBot="1" x14ac:dyDescent="0.45">
      <c r="D372" s="664" t="s">
        <v>8</v>
      </c>
      <c r="E372" s="665"/>
      <c r="F372" s="665"/>
      <c r="G372" s="665"/>
      <c r="H372" s="665"/>
      <c r="I372" s="666"/>
      <c r="J372" s="667" t="s">
        <v>5</v>
      </c>
      <c r="K372" s="665"/>
      <c r="L372" s="665"/>
      <c r="M372" s="665"/>
      <c r="N372" s="665"/>
      <c r="O372" s="665"/>
      <c r="P372" s="665"/>
      <c r="Q372" s="666"/>
      <c r="R372" s="668" t="s">
        <v>9</v>
      </c>
      <c r="S372" s="669"/>
      <c r="T372" s="669"/>
      <c r="U372" s="669"/>
      <c r="V372" s="669"/>
      <c r="W372" s="669"/>
      <c r="X372" s="669"/>
      <c r="Y372" s="669"/>
      <c r="Z372" s="670"/>
      <c r="AA372" s="609" t="s">
        <v>10</v>
      </c>
      <c r="AB372" s="610"/>
      <c r="AC372" s="671"/>
      <c r="AD372" s="609" t="s">
        <v>11</v>
      </c>
      <c r="AE372" s="610"/>
      <c r="AF372" s="610"/>
      <c r="AG372" s="610"/>
      <c r="AH372" s="610"/>
      <c r="AI372" s="610"/>
      <c r="AJ372" s="610"/>
      <c r="AK372" s="610"/>
      <c r="AL372" s="610"/>
      <c r="AM372" s="611"/>
    </row>
    <row r="373" spans="1:45" ht="30" customHeight="1" x14ac:dyDescent="0.4">
      <c r="D373" s="651" t="s">
        <v>298</v>
      </c>
      <c r="E373" s="652"/>
      <c r="F373" s="652"/>
      <c r="G373" s="652"/>
      <c r="H373" s="652"/>
      <c r="I373" s="653"/>
      <c r="J373" s="654"/>
      <c r="K373" s="652"/>
      <c r="L373" s="652"/>
      <c r="M373" s="652"/>
      <c r="N373" s="652"/>
      <c r="O373" s="652"/>
      <c r="P373" s="652"/>
      <c r="Q373" s="653"/>
      <c r="R373" s="655"/>
      <c r="S373" s="656"/>
      <c r="T373" s="656"/>
      <c r="U373" s="656"/>
      <c r="V373" s="656"/>
      <c r="W373" s="656"/>
      <c r="X373" s="656"/>
      <c r="Y373" s="656"/>
      <c r="Z373" s="657"/>
      <c r="AA373" s="658"/>
      <c r="AB373" s="659"/>
      <c r="AC373" s="660"/>
      <c r="AD373" s="661"/>
      <c r="AE373" s="662"/>
      <c r="AF373" s="662"/>
      <c r="AG373" s="662"/>
      <c r="AH373" s="662"/>
      <c r="AI373" s="662"/>
      <c r="AJ373" s="662"/>
      <c r="AK373" s="662"/>
      <c r="AL373" s="662"/>
      <c r="AM373" s="663"/>
    </row>
    <row r="374" spans="1:45" ht="30" customHeight="1" x14ac:dyDescent="0.4">
      <c r="D374" s="688" t="s">
        <v>12</v>
      </c>
      <c r="E374" s="604"/>
      <c r="F374" s="604"/>
      <c r="G374" s="604"/>
      <c r="H374" s="604"/>
      <c r="I374" s="605"/>
      <c r="J374" s="603"/>
      <c r="K374" s="604"/>
      <c r="L374" s="604"/>
      <c r="M374" s="604"/>
      <c r="N374" s="604"/>
      <c r="O374" s="604"/>
      <c r="P374" s="604"/>
      <c r="Q374" s="605"/>
      <c r="R374" s="606"/>
      <c r="S374" s="607"/>
      <c r="T374" s="607"/>
      <c r="U374" s="607"/>
      <c r="V374" s="607"/>
      <c r="W374" s="607"/>
      <c r="X374" s="607"/>
      <c r="Y374" s="607"/>
      <c r="Z374" s="608"/>
      <c r="AA374" s="606"/>
      <c r="AB374" s="607"/>
      <c r="AC374" s="608"/>
      <c r="AD374" s="672"/>
      <c r="AE374" s="673"/>
      <c r="AF374" s="673"/>
      <c r="AG374" s="673"/>
      <c r="AH374" s="673"/>
      <c r="AI374" s="673"/>
      <c r="AJ374" s="673"/>
      <c r="AK374" s="673"/>
      <c r="AL374" s="673"/>
      <c r="AM374" s="674"/>
    </row>
    <row r="375" spans="1:45" ht="30" customHeight="1" thickBot="1" x14ac:dyDescent="0.45">
      <c r="D375" s="675" t="s">
        <v>12</v>
      </c>
      <c r="E375" s="676"/>
      <c r="F375" s="676"/>
      <c r="G375" s="676"/>
      <c r="H375" s="676"/>
      <c r="I375" s="677"/>
      <c r="J375" s="678"/>
      <c r="K375" s="676"/>
      <c r="L375" s="676"/>
      <c r="M375" s="676"/>
      <c r="N375" s="676"/>
      <c r="O375" s="676"/>
      <c r="P375" s="676"/>
      <c r="Q375" s="677"/>
      <c r="R375" s="679"/>
      <c r="S375" s="680"/>
      <c r="T375" s="680"/>
      <c r="U375" s="680"/>
      <c r="V375" s="680"/>
      <c r="W375" s="680"/>
      <c r="X375" s="680"/>
      <c r="Y375" s="680"/>
      <c r="Z375" s="681"/>
      <c r="AA375" s="682"/>
      <c r="AB375" s="683"/>
      <c r="AC375" s="684"/>
      <c r="AD375" s="685"/>
      <c r="AE375" s="686"/>
      <c r="AF375" s="686"/>
      <c r="AG375" s="686"/>
      <c r="AH375" s="686"/>
      <c r="AI375" s="686"/>
      <c r="AJ375" s="686"/>
      <c r="AK375" s="686"/>
      <c r="AL375" s="686"/>
      <c r="AM375" s="687"/>
    </row>
    <row r="376" spans="1:45" ht="30" customHeight="1" x14ac:dyDescent="0.4">
      <c r="A376" s="115"/>
      <c r="B376" s="640" t="str">
        <f>U12組合せ!$B$1</f>
        <v>ＪＦＡ　Ｕ-１２サッカーリーグ2021（in栃木） 宇都宮地区リーグ戦（前期）</v>
      </c>
      <c r="C376" s="640"/>
      <c r="D376" s="640"/>
      <c r="E376" s="640"/>
      <c r="F376" s="640"/>
      <c r="G376" s="640"/>
      <c r="H376" s="640"/>
      <c r="I376" s="640"/>
      <c r="J376" s="640"/>
      <c r="K376" s="640"/>
      <c r="L376" s="640"/>
      <c r="M376" s="640"/>
      <c r="N376" s="640"/>
      <c r="O376" s="640"/>
      <c r="P376" s="640"/>
      <c r="Q376" s="640"/>
      <c r="R376" s="640"/>
      <c r="S376" s="640"/>
      <c r="T376" s="640"/>
      <c r="U376" s="640"/>
      <c r="V376" s="640"/>
      <c r="W376" s="640"/>
      <c r="X376" s="640"/>
      <c r="Y376" s="640"/>
      <c r="Z376" s="640"/>
      <c r="AA376" s="640"/>
      <c r="AB376" s="640"/>
      <c r="AC376" s="612" t="str">
        <f>"【"&amp;(U12組合せ!$D$3)&amp;"】"</f>
        <v>【Ａ ブロック】</v>
      </c>
      <c r="AD376" s="612"/>
      <c r="AE376" s="612"/>
      <c r="AF376" s="612"/>
      <c r="AG376" s="612"/>
      <c r="AH376" s="612"/>
      <c r="AI376" s="612"/>
      <c r="AJ376" s="612"/>
      <c r="AK376" s="612" t="str">
        <f>"第"&amp;(U12組合せ!$D$45)</f>
        <v>第５節</v>
      </c>
      <c r="AL376" s="612"/>
      <c r="AM376" s="612"/>
      <c r="AN376" s="612"/>
      <c r="AO376" s="612"/>
      <c r="AP376" s="597" t="s">
        <v>308</v>
      </c>
      <c r="AQ376" s="598"/>
    </row>
    <row r="377" spans="1:45" ht="30" customHeight="1" x14ac:dyDescent="0.4">
      <c r="A377" s="115"/>
      <c r="B377" s="640"/>
      <c r="C377" s="640"/>
      <c r="D377" s="640"/>
      <c r="E377" s="640"/>
      <c r="F377" s="640"/>
      <c r="G377" s="640"/>
      <c r="H377" s="640"/>
      <c r="I377" s="640"/>
      <c r="J377" s="640"/>
      <c r="K377" s="640"/>
      <c r="L377" s="640"/>
      <c r="M377" s="640"/>
      <c r="N377" s="640"/>
      <c r="O377" s="640"/>
      <c r="P377" s="640"/>
      <c r="Q377" s="640"/>
      <c r="R377" s="640"/>
      <c r="S377" s="640"/>
      <c r="T377" s="640"/>
      <c r="U377" s="640"/>
      <c r="V377" s="640"/>
      <c r="W377" s="640"/>
      <c r="X377" s="640"/>
      <c r="Y377" s="640"/>
      <c r="Z377" s="640"/>
      <c r="AA377" s="640"/>
      <c r="AB377" s="640"/>
      <c r="AC377" s="612"/>
      <c r="AD377" s="612"/>
      <c r="AE377" s="612"/>
      <c r="AF377" s="612"/>
      <c r="AG377" s="612"/>
      <c r="AH377" s="612"/>
      <c r="AI377" s="612"/>
      <c r="AJ377" s="612"/>
      <c r="AK377" s="612"/>
      <c r="AL377" s="612"/>
      <c r="AM377" s="612"/>
      <c r="AN377" s="612"/>
      <c r="AO377" s="612"/>
      <c r="AP377" s="598"/>
      <c r="AQ377" s="598"/>
    </row>
    <row r="378" spans="1:45" ht="27.75" customHeight="1" x14ac:dyDescent="0.4">
      <c r="C378" s="635" t="s">
        <v>1</v>
      </c>
      <c r="D378" s="635"/>
      <c r="E378" s="635"/>
      <c r="F378" s="635"/>
      <c r="G378" s="725" t="str">
        <f>U12対戦スケジュール!C103</f>
        <v>本郷北小 AM</v>
      </c>
      <c r="H378" s="726"/>
      <c r="I378" s="726"/>
      <c r="J378" s="726"/>
      <c r="K378" s="726"/>
      <c r="L378" s="726"/>
      <c r="M378" s="726"/>
      <c r="N378" s="726"/>
      <c r="O378" s="727"/>
      <c r="P378" s="635" t="s">
        <v>0</v>
      </c>
      <c r="Q378" s="635"/>
      <c r="R378" s="635"/>
      <c r="S378" s="635"/>
      <c r="T378" s="636" t="str">
        <f>AG381</f>
        <v>本郷北ＦＣ</v>
      </c>
      <c r="U378" s="636"/>
      <c r="V378" s="636"/>
      <c r="W378" s="636"/>
      <c r="X378" s="636"/>
      <c r="Y378" s="636"/>
      <c r="Z378" s="636"/>
      <c r="AA378" s="636"/>
      <c r="AB378" s="636"/>
      <c r="AC378" s="635" t="s">
        <v>2</v>
      </c>
      <c r="AD378" s="635"/>
      <c r="AE378" s="635"/>
      <c r="AF378" s="635"/>
      <c r="AG378" s="618">
        <f>U12組合せ!B45</f>
        <v>44387</v>
      </c>
      <c r="AH378" s="619"/>
      <c r="AI378" s="619"/>
      <c r="AJ378" s="619"/>
      <c r="AK378" s="619"/>
      <c r="AL378" s="619"/>
      <c r="AM378" s="620" t="str">
        <f>"（"&amp;TEXT(AG378,"aaa")&amp;"）"</f>
        <v>（土）</v>
      </c>
      <c r="AN378" s="620"/>
      <c r="AO378" s="621"/>
    </row>
    <row r="379" spans="1:45" ht="15" customHeight="1" x14ac:dyDescent="0.4">
      <c r="C379" s="96" t="str">
        <f>U12組合せ!E46</f>
        <v>A1469</v>
      </c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95"/>
      <c r="X379" s="95"/>
      <c r="Y379" s="95"/>
      <c r="Z379" s="95"/>
      <c r="AA379" s="95"/>
      <c r="AB379" s="95"/>
      <c r="AC379" s="95"/>
    </row>
    <row r="380" spans="1:45" ht="29.25" customHeight="1" x14ac:dyDescent="0.4">
      <c r="C380" s="636">
        <v>1</v>
      </c>
      <c r="D380" s="636"/>
      <c r="E380" s="709" t="str">
        <f>VLOOKUP(C380,U12組合せ!B$10:K$19,3,TRUE)</f>
        <v>富士見ＳＳＳ</v>
      </c>
      <c r="F380" s="709"/>
      <c r="G380" s="709"/>
      <c r="H380" s="709"/>
      <c r="I380" s="709"/>
      <c r="J380" s="709"/>
      <c r="K380" s="709"/>
      <c r="L380" s="709"/>
      <c r="M380" s="709"/>
      <c r="N380" s="709"/>
      <c r="O380" s="94"/>
      <c r="P380" s="94"/>
      <c r="Q380" s="637">
        <v>5</v>
      </c>
      <c r="R380" s="637"/>
      <c r="S380" s="584" t="str">
        <f>VLOOKUP(Q380,U12組合せ!B$10:K$19,3,TRUE)</f>
        <v>ブラッドレスＳＣ</v>
      </c>
      <c r="T380" s="584"/>
      <c r="U380" s="584"/>
      <c r="V380" s="584"/>
      <c r="W380" s="584"/>
      <c r="X380" s="584"/>
      <c r="Y380" s="584"/>
      <c r="Z380" s="584"/>
      <c r="AA380" s="584"/>
      <c r="AB380" s="584"/>
      <c r="AC380" s="92"/>
      <c r="AD380" s="93"/>
      <c r="AE380" s="637">
        <v>8</v>
      </c>
      <c r="AF380" s="637"/>
      <c r="AG380" s="584" t="str">
        <f>VLOOKUP(AE380,U12組合せ!B$10:'U12組合せ'!K$19,3,TRUE)</f>
        <v>国本ＪＳＣ</v>
      </c>
      <c r="AH380" s="584"/>
      <c r="AI380" s="584"/>
      <c r="AJ380" s="584"/>
      <c r="AK380" s="584"/>
      <c r="AL380" s="584"/>
      <c r="AM380" s="584"/>
      <c r="AN380" s="584"/>
      <c r="AO380" s="584"/>
      <c r="AP380" s="584"/>
      <c r="AR380" s="96">
        <f>392/2</f>
        <v>196</v>
      </c>
    </row>
    <row r="381" spans="1:45" ht="29.25" customHeight="1" x14ac:dyDescent="0.4">
      <c r="C381" s="637">
        <v>2</v>
      </c>
      <c r="D381" s="637"/>
      <c r="E381" s="584" t="str">
        <f>VLOOKUP(C381,U12組合せ!B$10:K$19,3,TRUE)</f>
        <v>石井ＦＣ</v>
      </c>
      <c r="F381" s="584"/>
      <c r="G381" s="584"/>
      <c r="H381" s="584"/>
      <c r="I381" s="584"/>
      <c r="J381" s="584"/>
      <c r="K381" s="584"/>
      <c r="L381" s="584"/>
      <c r="M381" s="584"/>
      <c r="N381" s="584"/>
      <c r="O381" s="94"/>
      <c r="P381" s="94"/>
      <c r="Q381" s="636">
        <v>6</v>
      </c>
      <c r="R381" s="636"/>
      <c r="S381" s="709" t="str">
        <f>VLOOKUP(Q381,U12組合せ!B$10:'U12組合せ'!K$19,3,TRUE)</f>
        <v>Ｓ４スペランツァ</v>
      </c>
      <c r="T381" s="709"/>
      <c r="U381" s="709"/>
      <c r="V381" s="709"/>
      <c r="W381" s="709"/>
      <c r="X381" s="709"/>
      <c r="Y381" s="709"/>
      <c r="Z381" s="709"/>
      <c r="AA381" s="709"/>
      <c r="AB381" s="709"/>
      <c r="AC381" s="92"/>
      <c r="AD381" s="93"/>
      <c r="AE381" s="636">
        <v>9</v>
      </c>
      <c r="AF381" s="636"/>
      <c r="AG381" s="709" t="str">
        <f>VLOOKUP(AE381,U12組合せ!B$10:'U12組合せ'!K$19,3,TRUE)</f>
        <v>本郷北ＦＣ</v>
      </c>
      <c r="AH381" s="709"/>
      <c r="AI381" s="709"/>
      <c r="AJ381" s="709"/>
      <c r="AK381" s="709"/>
      <c r="AL381" s="709"/>
      <c r="AM381" s="709"/>
      <c r="AN381" s="709"/>
      <c r="AO381" s="709"/>
      <c r="AP381" s="709"/>
      <c r="AR381" s="96">
        <v>105</v>
      </c>
    </row>
    <row r="382" spans="1:45" ht="29.25" customHeight="1" x14ac:dyDescent="0.4">
      <c r="C382" s="637">
        <v>3</v>
      </c>
      <c r="D382" s="637"/>
      <c r="E382" s="584" t="str">
        <f>VLOOKUP(C382,U12組合せ!B$10:K$19,3,TRUE)</f>
        <v>unionscU12</v>
      </c>
      <c r="F382" s="584"/>
      <c r="G382" s="584"/>
      <c r="H382" s="584"/>
      <c r="I382" s="584"/>
      <c r="J382" s="584"/>
      <c r="K382" s="584"/>
      <c r="L382" s="584"/>
      <c r="M382" s="584"/>
      <c r="N382" s="584"/>
      <c r="O382" s="94"/>
      <c r="P382" s="94"/>
      <c r="Q382" s="637">
        <v>7</v>
      </c>
      <c r="R382" s="637"/>
      <c r="S382" s="584" t="str">
        <f>VLOOKUP(Q382,U12組合せ!B$10:'U12組合せ'!K$19,3,TRUE)</f>
        <v>上河内ＪＳＣ</v>
      </c>
      <c r="T382" s="584"/>
      <c r="U382" s="584"/>
      <c r="V382" s="584"/>
      <c r="W382" s="584"/>
      <c r="X382" s="584"/>
      <c r="Y382" s="584"/>
      <c r="Z382" s="584"/>
      <c r="AA382" s="584"/>
      <c r="AB382" s="584"/>
      <c r="AC382" s="92"/>
      <c r="AD382" s="93"/>
      <c r="AE382" s="637">
        <v>10</v>
      </c>
      <c r="AF382" s="637"/>
      <c r="AG382" s="584" t="str">
        <f>VLOOKUP(AE382,U12組合せ!B$10:'U12組合せ'!K$19,3,TRUE)</f>
        <v>FCアネーロ・U-12</v>
      </c>
      <c r="AH382" s="584"/>
      <c r="AI382" s="584"/>
      <c r="AJ382" s="584"/>
      <c r="AK382" s="584"/>
      <c r="AL382" s="584"/>
      <c r="AM382" s="584"/>
      <c r="AN382" s="584"/>
      <c r="AO382" s="584"/>
      <c r="AP382" s="584"/>
      <c r="AR382" s="96">
        <f>AR380-AR381</f>
        <v>91</v>
      </c>
      <c r="AS382" s="96">
        <f>196-89</f>
        <v>107</v>
      </c>
    </row>
    <row r="383" spans="1:45" ht="29.25" customHeight="1" x14ac:dyDescent="0.4">
      <c r="B383" s="102"/>
      <c r="C383" s="636">
        <v>4</v>
      </c>
      <c r="D383" s="636"/>
      <c r="E383" s="709" t="str">
        <f>VLOOKUP(C383,U12組合せ!B$10:K$19,3,TRUE)</f>
        <v>ＳＵＧＡＯ・ＳＣ</v>
      </c>
      <c r="F383" s="709"/>
      <c r="G383" s="709"/>
      <c r="H383" s="709"/>
      <c r="I383" s="709"/>
      <c r="J383" s="709"/>
      <c r="K383" s="709"/>
      <c r="L383" s="709"/>
      <c r="M383" s="709"/>
      <c r="N383" s="709"/>
      <c r="O383" s="94"/>
      <c r="P383" s="94"/>
      <c r="Q383" s="93"/>
      <c r="R383" s="93"/>
      <c r="S383" s="93"/>
      <c r="T383" s="93"/>
      <c r="U383" s="93"/>
      <c r="V383" s="93"/>
      <c r="W383" s="93"/>
      <c r="X383" s="93"/>
      <c r="Y383" s="93"/>
      <c r="Z383" s="93"/>
      <c r="AA383" s="93"/>
      <c r="AB383" s="93"/>
      <c r="AC383" s="92"/>
      <c r="AD383" s="94"/>
      <c r="AE383" s="94"/>
      <c r="AF383" s="94"/>
      <c r="AG383" s="94"/>
      <c r="AH383" s="93"/>
      <c r="AI383" s="93"/>
      <c r="AJ383" s="93"/>
      <c r="AK383" s="93"/>
      <c r="AL383" s="93"/>
      <c r="AM383" s="93"/>
      <c r="AN383" s="93"/>
      <c r="AO383" s="93"/>
      <c r="AP383" s="93"/>
    </row>
    <row r="384" spans="1:45" ht="8.25" customHeight="1" x14ac:dyDescent="0.4">
      <c r="O384" s="102"/>
      <c r="P384" s="102"/>
      <c r="AC384" s="95"/>
    </row>
    <row r="385" spans="2:45" ht="8.25" customHeight="1" x14ac:dyDescent="0.4">
      <c r="C385" s="117"/>
      <c r="D385" s="118"/>
      <c r="E385" s="118"/>
      <c r="F385" s="118"/>
      <c r="G385" s="118"/>
      <c r="H385" s="118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18"/>
      <c r="U385" s="102"/>
      <c r="V385" s="118"/>
      <c r="W385" s="102"/>
      <c r="X385" s="118"/>
      <c r="Y385" s="102"/>
      <c r="Z385" s="118"/>
      <c r="AA385" s="102"/>
      <c r="AB385" s="118"/>
      <c r="AC385" s="118"/>
    </row>
    <row r="386" spans="2:45" ht="21" customHeight="1" x14ac:dyDescent="0.4">
      <c r="B386" s="118" t="str">
        <f ca="1">IF(B388="①","【監督会議 8：20～】","【監督会議 12：50～】")</f>
        <v>【監督会議 8：20～】</v>
      </c>
      <c r="I386" s="96" t="s">
        <v>330</v>
      </c>
    </row>
    <row r="387" spans="2:45" ht="20.25" customHeight="1" x14ac:dyDescent="0.4">
      <c r="B387" s="97"/>
      <c r="C387" s="711" t="s">
        <v>3</v>
      </c>
      <c r="D387" s="711"/>
      <c r="E387" s="711"/>
      <c r="F387" s="712" t="s">
        <v>4</v>
      </c>
      <c r="G387" s="712"/>
      <c r="H387" s="712"/>
      <c r="I387" s="712"/>
      <c r="J387" s="711" t="s">
        <v>5</v>
      </c>
      <c r="K387" s="713"/>
      <c r="L387" s="713"/>
      <c r="M387" s="713"/>
      <c r="N387" s="713"/>
      <c r="O387" s="713"/>
      <c r="P387" s="713"/>
      <c r="Q387" s="711" t="s">
        <v>32</v>
      </c>
      <c r="R387" s="711"/>
      <c r="S387" s="711"/>
      <c r="T387" s="711"/>
      <c r="U387" s="711"/>
      <c r="V387" s="711"/>
      <c r="W387" s="711"/>
      <c r="X387" s="711" t="s">
        <v>5</v>
      </c>
      <c r="Y387" s="713"/>
      <c r="Z387" s="713"/>
      <c r="AA387" s="713"/>
      <c r="AB387" s="713"/>
      <c r="AC387" s="713"/>
      <c r="AD387" s="713"/>
      <c r="AE387" s="712" t="s">
        <v>4</v>
      </c>
      <c r="AF387" s="712"/>
      <c r="AG387" s="712"/>
      <c r="AH387" s="712"/>
      <c r="AI387" s="711" t="s">
        <v>6</v>
      </c>
      <c r="AJ387" s="711"/>
      <c r="AK387" s="713"/>
      <c r="AL387" s="713"/>
      <c r="AM387" s="713"/>
      <c r="AN387" s="713"/>
      <c r="AO387" s="713"/>
      <c r="AP387" s="713"/>
    </row>
    <row r="388" spans="2:45" ht="20.100000000000001" customHeight="1" x14ac:dyDescent="0.4">
      <c r="B388" s="644" t="str">
        <f ca="1">DBCS(INDIRECT("U12対戦スケジュール!A"&amp;(ROW())/2-89))</f>
        <v>①</v>
      </c>
      <c r="C388" s="645">
        <f ca="1">INDIRECT("U12対戦スケジュール!B"&amp;(ROW())/2-89)</f>
        <v>0.375</v>
      </c>
      <c r="D388" s="646"/>
      <c r="E388" s="647"/>
      <c r="F388" s="583"/>
      <c r="G388" s="583"/>
      <c r="H388" s="583"/>
      <c r="I388" s="583"/>
      <c r="J388" s="636" t="str">
        <f ca="1">VLOOKUP(AR388,U12組合せ!B$10:E$19,3,TRUE)</f>
        <v>富士見ＳＳＳ</v>
      </c>
      <c r="K388" s="637"/>
      <c r="L388" s="637"/>
      <c r="M388" s="637"/>
      <c r="N388" s="637"/>
      <c r="O388" s="637"/>
      <c r="P388" s="637"/>
      <c r="Q388" s="635" t="str">
        <f>IF(OR(S388="",S389=""),"",S388+S389)</f>
        <v/>
      </c>
      <c r="R388" s="635"/>
      <c r="S388" s="98"/>
      <c r="T388" s="99" t="s">
        <v>7</v>
      </c>
      <c r="U388" s="98"/>
      <c r="V388" s="635" t="str">
        <f>IF(OR(U388="",U389=""),"",U388+U389)</f>
        <v/>
      </c>
      <c r="W388" s="635"/>
      <c r="X388" s="636" t="str">
        <f ca="1">VLOOKUP(AS388,U12組合せ!B$10:E$19,3,TRUE)</f>
        <v>本郷北ＦＣ</v>
      </c>
      <c r="Y388" s="637"/>
      <c r="Z388" s="637"/>
      <c r="AA388" s="637"/>
      <c r="AB388" s="637"/>
      <c r="AC388" s="637"/>
      <c r="AD388" s="637"/>
      <c r="AE388" s="583"/>
      <c r="AF388" s="583"/>
      <c r="AG388" s="583"/>
      <c r="AH388" s="583"/>
      <c r="AI388" s="634" t="str">
        <f ca="1">DBCS(INDIRECT("U12対戦スケジュール!F"&amp;(ROW())/2-89))</f>
        <v>４／６／６／４</v>
      </c>
      <c r="AJ388" s="583"/>
      <c r="AK388" s="583"/>
      <c r="AL388" s="583"/>
      <c r="AM388" s="583"/>
      <c r="AN388" s="583"/>
      <c r="AO388" s="583"/>
      <c r="AP388" s="583"/>
      <c r="AR388" s="119">
        <f ca="1">INDIRECT("U12対戦スケジュール!ｃ"&amp;(ROW())/2-89)</f>
        <v>1</v>
      </c>
      <c r="AS388" s="119">
        <f ca="1">INDIRECT("U12対戦スケジュール!E"&amp;(ROW())/2-89)</f>
        <v>9</v>
      </c>
    </row>
    <row r="389" spans="2:45" ht="20.100000000000001" customHeight="1" x14ac:dyDescent="0.4">
      <c r="B389" s="644"/>
      <c r="C389" s="648"/>
      <c r="D389" s="649"/>
      <c r="E389" s="650"/>
      <c r="F389" s="583"/>
      <c r="G389" s="583"/>
      <c r="H389" s="583"/>
      <c r="I389" s="583"/>
      <c r="J389" s="637"/>
      <c r="K389" s="637"/>
      <c r="L389" s="637"/>
      <c r="M389" s="637"/>
      <c r="N389" s="637"/>
      <c r="O389" s="637"/>
      <c r="P389" s="637"/>
      <c r="Q389" s="635"/>
      <c r="R389" s="635"/>
      <c r="S389" s="98"/>
      <c r="T389" s="99" t="s">
        <v>7</v>
      </c>
      <c r="U389" s="98"/>
      <c r="V389" s="635"/>
      <c r="W389" s="635"/>
      <c r="X389" s="637"/>
      <c r="Y389" s="637"/>
      <c r="Z389" s="637"/>
      <c r="AA389" s="637"/>
      <c r="AB389" s="637"/>
      <c r="AC389" s="637"/>
      <c r="AD389" s="637"/>
      <c r="AE389" s="583"/>
      <c r="AF389" s="583"/>
      <c r="AG389" s="583"/>
      <c r="AH389" s="583"/>
      <c r="AI389" s="583"/>
      <c r="AJ389" s="583"/>
      <c r="AK389" s="583"/>
      <c r="AL389" s="583"/>
      <c r="AM389" s="583"/>
      <c r="AN389" s="583"/>
      <c r="AO389" s="583"/>
      <c r="AP389" s="583"/>
      <c r="AR389" s="119"/>
      <c r="AS389" s="119"/>
    </row>
    <row r="390" spans="2:45" ht="20.100000000000001" customHeight="1" x14ac:dyDescent="0.4">
      <c r="B390" s="644" t="str">
        <f ca="1">DBCS(INDIRECT("U12対戦スケジュール!A"&amp;(ROW())/2-89))</f>
        <v>②</v>
      </c>
      <c r="C390" s="645">
        <f ca="1">INDIRECT("U12対戦スケジュール!B"&amp;(ROW())/2-89)</f>
        <v>0.41699999999999998</v>
      </c>
      <c r="D390" s="646"/>
      <c r="E390" s="647"/>
      <c r="F390" s="583"/>
      <c r="G390" s="583"/>
      <c r="H390" s="583"/>
      <c r="I390" s="583"/>
      <c r="J390" s="728" t="str">
        <f ca="1">VLOOKUP(AR390,U12組合せ!B$10:E$19,3,TRUE)</f>
        <v>ＳＵＧＡＯ・ＳＣ</v>
      </c>
      <c r="K390" s="729"/>
      <c r="L390" s="729"/>
      <c r="M390" s="729"/>
      <c r="N390" s="729"/>
      <c r="O390" s="729"/>
      <c r="P390" s="730"/>
      <c r="Q390" s="635" t="str">
        <f>IF(OR(S390="",S391=""),"",S390+S391)</f>
        <v/>
      </c>
      <c r="R390" s="635"/>
      <c r="S390" s="98"/>
      <c r="T390" s="99" t="s">
        <v>7</v>
      </c>
      <c r="U390" s="98"/>
      <c r="V390" s="635" t="str">
        <f>IF(OR(U390="",U391=""),"",U390+U391)</f>
        <v/>
      </c>
      <c r="W390" s="635"/>
      <c r="X390" s="636" t="str">
        <f ca="1">VLOOKUP(AS390,U12組合せ!B$10:E$19,3,TRUE)</f>
        <v>本郷北ＦＣ</v>
      </c>
      <c r="Y390" s="637"/>
      <c r="Z390" s="637"/>
      <c r="AA390" s="637"/>
      <c r="AB390" s="637"/>
      <c r="AC390" s="637"/>
      <c r="AD390" s="637"/>
      <c r="AE390" s="583"/>
      <c r="AF390" s="583"/>
      <c r="AG390" s="583"/>
      <c r="AH390" s="583"/>
      <c r="AI390" s="634" t="str">
        <f ca="1">DBCS(INDIRECT("U12対戦スケジュール!F"&amp;(ROW())/2-89))</f>
        <v>６／１／１／６</v>
      </c>
      <c r="AJ390" s="583"/>
      <c r="AK390" s="583"/>
      <c r="AL390" s="583"/>
      <c r="AM390" s="583"/>
      <c r="AN390" s="583"/>
      <c r="AO390" s="583"/>
      <c r="AP390" s="583"/>
      <c r="AR390" s="119">
        <f ca="1">INDIRECT("U12対戦スケジュール!ｃ"&amp;(ROW())/2-89)</f>
        <v>4</v>
      </c>
      <c r="AS390" s="119">
        <f ca="1">INDIRECT("U12対戦スケジュール!E"&amp;(ROW())/2-89)</f>
        <v>9</v>
      </c>
    </row>
    <row r="391" spans="2:45" ht="20.100000000000001" customHeight="1" x14ac:dyDescent="0.4">
      <c r="B391" s="644"/>
      <c r="C391" s="648"/>
      <c r="D391" s="649"/>
      <c r="E391" s="650"/>
      <c r="F391" s="583"/>
      <c r="G391" s="583"/>
      <c r="H391" s="583"/>
      <c r="I391" s="583"/>
      <c r="J391" s="731"/>
      <c r="K391" s="732"/>
      <c r="L391" s="732"/>
      <c r="M391" s="732"/>
      <c r="N391" s="732"/>
      <c r="O391" s="732"/>
      <c r="P391" s="733"/>
      <c r="Q391" s="635"/>
      <c r="R391" s="635"/>
      <c r="S391" s="98"/>
      <c r="T391" s="99" t="s">
        <v>7</v>
      </c>
      <c r="U391" s="98"/>
      <c r="V391" s="635"/>
      <c r="W391" s="635"/>
      <c r="X391" s="637"/>
      <c r="Y391" s="637"/>
      <c r="Z391" s="637"/>
      <c r="AA391" s="637"/>
      <c r="AB391" s="637"/>
      <c r="AC391" s="637"/>
      <c r="AD391" s="637"/>
      <c r="AE391" s="583"/>
      <c r="AF391" s="583"/>
      <c r="AG391" s="583"/>
      <c r="AH391" s="583"/>
      <c r="AI391" s="583"/>
      <c r="AJ391" s="583"/>
      <c r="AK391" s="583"/>
      <c r="AL391" s="583"/>
      <c r="AM391" s="583"/>
      <c r="AN391" s="583"/>
      <c r="AO391" s="583"/>
      <c r="AP391" s="583"/>
      <c r="AR391" s="119"/>
      <c r="AS391" s="119"/>
    </row>
    <row r="392" spans="2:45" ht="20.100000000000001" customHeight="1" x14ac:dyDescent="0.4">
      <c r="B392" s="644" t="str">
        <f ca="1">DBCS(INDIRECT("U12対戦スケジュール!A"&amp;(ROW())/2-89))</f>
        <v>③</v>
      </c>
      <c r="C392" s="645">
        <f ca="1">INDIRECT("U12対戦スケジュール!B"&amp;(ROW())/2-89)</f>
        <v>0.45899999999999996</v>
      </c>
      <c r="D392" s="646"/>
      <c r="E392" s="647"/>
      <c r="F392" s="583"/>
      <c r="G392" s="583"/>
      <c r="H392" s="583"/>
      <c r="I392" s="583"/>
      <c r="J392" s="728" t="str">
        <f ca="1">VLOOKUP(AR392,U12組合せ!B$10:E$19,3,TRUE)</f>
        <v>ＳＵＧＡＯ・ＳＣ</v>
      </c>
      <c r="K392" s="729"/>
      <c r="L392" s="729"/>
      <c r="M392" s="729"/>
      <c r="N392" s="729"/>
      <c r="O392" s="729"/>
      <c r="P392" s="730"/>
      <c r="Q392" s="635" t="str">
        <f>IF(OR(S392="",S393=""),"",S392+S393)</f>
        <v/>
      </c>
      <c r="R392" s="635"/>
      <c r="S392" s="98"/>
      <c r="T392" s="99" t="s">
        <v>7</v>
      </c>
      <c r="U392" s="98"/>
      <c r="V392" s="635" t="str">
        <f>IF(OR(U392="",U393=""),"",U392+U393)</f>
        <v/>
      </c>
      <c r="W392" s="635"/>
      <c r="X392" s="636" t="str">
        <f ca="1">VLOOKUP(AS392,U12組合せ!B$10:E$19,3,TRUE)</f>
        <v>Ｓ４スペランツァ</v>
      </c>
      <c r="Y392" s="637"/>
      <c r="Z392" s="637"/>
      <c r="AA392" s="637"/>
      <c r="AB392" s="637"/>
      <c r="AC392" s="637"/>
      <c r="AD392" s="637"/>
      <c r="AE392" s="583"/>
      <c r="AF392" s="583"/>
      <c r="AG392" s="583"/>
      <c r="AH392" s="583"/>
      <c r="AI392" s="634" t="str">
        <f ca="1">DBCS(INDIRECT("U12対戦スケジュール!F"&amp;(ROW())/2-89))</f>
        <v>１／９／９／１</v>
      </c>
      <c r="AJ392" s="583"/>
      <c r="AK392" s="583"/>
      <c r="AL392" s="583"/>
      <c r="AM392" s="583"/>
      <c r="AN392" s="583"/>
      <c r="AO392" s="583"/>
      <c r="AP392" s="583"/>
      <c r="AR392" s="119">
        <f ca="1">INDIRECT("U12対戦スケジュール!ｃ"&amp;(ROW())/2-89)</f>
        <v>4</v>
      </c>
      <c r="AS392" s="119">
        <f ca="1">INDIRECT("U12対戦スケジュール!E"&amp;(ROW())/2-89)</f>
        <v>6</v>
      </c>
    </row>
    <row r="393" spans="2:45" ht="20.100000000000001" customHeight="1" x14ac:dyDescent="0.4">
      <c r="B393" s="644"/>
      <c r="C393" s="648"/>
      <c r="D393" s="649"/>
      <c r="E393" s="650"/>
      <c r="F393" s="583"/>
      <c r="G393" s="583"/>
      <c r="H393" s="583"/>
      <c r="I393" s="583"/>
      <c r="J393" s="731"/>
      <c r="K393" s="732"/>
      <c r="L393" s="732"/>
      <c r="M393" s="732"/>
      <c r="N393" s="732"/>
      <c r="O393" s="732"/>
      <c r="P393" s="733"/>
      <c r="Q393" s="635"/>
      <c r="R393" s="635"/>
      <c r="S393" s="98"/>
      <c r="T393" s="99" t="s">
        <v>7</v>
      </c>
      <c r="U393" s="98"/>
      <c r="V393" s="635"/>
      <c r="W393" s="635"/>
      <c r="X393" s="637"/>
      <c r="Y393" s="637"/>
      <c r="Z393" s="637"/>
      <c r="AA393" s="637"/>
      <c r="AB393" s="637"/>
      <c r="AC393" s="637"/>
      <c r="AD393" s="637"/>
      <c r="AE393" s="583"/>
      <c r="AF393" s="583"/>
      <c r="AG393" s="583"/>
      <c r="AH393" s="583"/>
      <c r="AI393" s="583"/>
      <c r="AJ393" s="583"/>
      <c r="AK393" s="583"/>
      <c r="AL393" s="583"/>
      <c r="AM393" s="583"/>
      <c r="AN393" s="583"/>
      <c r="AO393" s="583"/>
      <c r="AP393" s="583"/>
      <c r="AR393" s="119"/>
      <c r="AS393" s="119"/>
    </row>
    <row r="394" spans="2:45" ht="20.100000000000001" customHeight="1" x14ac:dyDescent="0.4">
      <c r="B394" s="644" t="str">
        <f ca="1">DBCS(INDIRECT("U12対戦スケジュール!A"&amp;(ROW())/2-89))</f>
        <v/>
      </c>
      <c r="C394" s="645"/>
      <c r="D394" s="646"/>
      <c r="E394" s="647"/>
      <c r="F394" s="583"/>
      <c r="G394" s="583"/>
      <c r="H394" s="583"/>
      <c r="I394" s="583"/>
      <c r="J394" s="636"/>
      <c r="K394" s="637"/>
      <c r="L394" s="637"/>
      <c r="M394" s="637"/>
      <c r="N394" s="637"/>
      <c r="O394" s="637"/>
      <c r="P394" s="637"/>
      <c r="Q394" s="635"/>
      <c r="R394" s="635"/>
      <c r="S394" s="98"/>
      <c r="T394" s="99"/>
      <c r="U394" s="98"/>
      <c r="V394" s="635"/>
      <c r="W394" s="635"/>
      <c r="X394" s="636"/>
      <c r="Y394" s="637"/>
      <c r="Z394" s="637"/>
      <c r="AA394" s="637"/>
      <c r="AB394" s="637"/>
      <c r="AC394" s="637"/>
      <c r="AD394" s="637"/>
      <c r="AE394" s="583"/>
      <c r="AF394" s="583"/>
      <c r="AG394" s="583"/>
      <c r="AH394" s="583"/>
      <c r="AI394" s="634"/>
      <c r="AJ394" s="583"/>
      <c r="AK394" s="583"/>
      <c r="AL394" s="583"/>
      <c r="AM394" s="583"/>
      <c r="AN394" s="583"/>
      <c r="AO394" s="583"/>
      <c r="AP394" s="583"/>
      <c r="AR394" s="119"/>
      <c r="AS394" s="119"/>
    </row>
    <row r="395" spans="2:45" ht="20.100000000000001" customHeight="1" x14ac:dyDescent="0.4">
      <c r="B395" s="644"/>
      <c r="C395" s="648"/>
      <c r="D395" s="649"/>
      <c r="E395" s="650"/>
      <c r="F395" s="583"/>
      <c r="G395" s="583"/>
      <c r="H395" s="583"/>
      <c r="I395" s="583"/>
      <c r="J395" s="637"/>
      <c r="K395" s="637"/>
      <c r="L395" s="637"/>
      <c r="M395" s="637"/>
      <c r="N395" s="637"/>
      <c r="O395" s="637"/>
      <c r="P395" s="637"/>
      <c r="Q395" s="635"/>
      <c r="R395" s="635"/>
      <c r="S395" s="98"/>
      <c r="T395" s="99"/>
      <c r="U395" s="98"/>
      <c r="V395" s="635"/>
      <c r="W395" s="635"/>
      <c r="X395" s="637"/>
      <c r="Y395" s="637"/>
      <c r="Z395" s="637"/>
      <c r="AA395" s="637"/>
      <c r="AB395" s="637"/>
      <c r="AC395" s="637"/>
      <c r="AD395" s="637"/>
      <c r="AE395" s="583"/>
      <c r="AF395" s="583"/>
      <c r="AG395" s="583"/>
      <c r="AH395" s="583"/>
      <c r="AI395" s="583"/>
      <c r="AJ395" s="583"/>
      <c r="AK395" s="583"/>
      <c r="AL395" s="583"/>
      <c r="AM395" s="583"/>
      <c r="AN395" s="583"/>
      <c r="AO395" s="583"/>
      <c r="AP395" s="583"/>
      <c r="AR395" s="119"/>
      <c r="AS395" s="119"/>
    </row>
    <row r="396" spans="2:45" ht="20.100000000000001" customHeight="1" x14ac:dyDescent="0.4">
      <c r="B396" s="644"/>
      <c r="C396" s="723"/>
      <c r="D396" s="723"/>
      <c r="E396" s="723"/>
      <c r="F396" s="583"/>
      <c r="G396" s="583"/>
      <c r="H396" s="583"/>
      <c r="I396" s="583"/>
      <c r="J396" s="721"/>
      <c r="K396" s="722"/>
      <c r="L396" s="722"/>
      <c r="M396" s="722"/>
      <c r="N396" s="722"/>
      <c r="O396" s="722"/>
      <c r="P396" s="722"/>
      <c r="Q396" s="634"/>
      <c r="R396" s="634"/>
      <c r="S396" s="100"/>
      <c r="T396" s="101"/>
      <c r="U396" s="100"/>
      <c r="V396" s="634"/>
      <c r="W396" s="634"/>
      <c r="X396" s="721"/>
      <c r="Y396" s="722"/>
      <c r="Z396" s="722"/>
      <c r="AA396" s="722"/>
      <c r="AB396" s="722"/>
      <c r="AC396" s="722"/>
      <c r="AD396" s="722"/>
      <c r="AE396" s="583"/>
      <c r="AF396" s="583"/>
      <c r="AG396" s="583"/>
      <c r="AH396" s="583"/>
      <c r="AI396" s="634"/>
      <c r="AJ396" s="583"/>
      <c r="AK396" s="583"/>
      <c r="AL396" s="583"/>
      <c r="AM396" s="583"/>
      <c r="AN396" s="583"/>
      <c r="AO396" s="583"/>
      <c r="AP396" s="583"/>
      <c r="AR396" s="119"/>
      <c r="AS396" s="119"/>
    </row>
    <row r="397" spans="2:45" ht="20.100000000000001" customHeight="1" x14ac:dyDescent="0.4">
      <c r="B397" s="644"/>
      <c r="C397" s="723"/>
      <c r="D397" s="723"/>
      <c r="E397" s="723"/>
      <c r="F397" s="583"/>
      <c r="G397" s="583"/>
      <c r="H397" s="583"/>
      <c r="I397" s="583"/>
      <c r="J397" s="722"/>
      <c r="K397" s="722"/>
      <c r="L397" s="722"/>
      <c r="M397" s="722"/>
      <c r="N397" s="722"/>
      <c r="O397" s="722"/>
      <c r="P397" s="722"/>
      <c r="Q397" s="634"/>
      <c r="R397" s="634"/>
      <c r="S397" s="100"/>
      <c r="T397" s="101"/>
      <c r="U397" s="100"/>
      <c r="V397" s="634"/>
      <c r="W397" s="634"/>
      <c r="X397" s="722"/>
      <c r="Y397" s="722"/>
      <c r="Z397" s="722"/>
      <c r="AA397" s="722"/>
      <c r="AB397" s="722"/>
      <c r="AC397" s="722"/>
      <c r="AD397" s="722"/>
      <c r="AE397" s="583"/>
      <c r="AF397" s="583"/>
      <c r="AG397" s="583"/>
      <c r="AH397" s="583"/>
      <c r="AI397" s="583"/>
      <c r="AJ397" s="583"/>
      <c r="AK397" s="583"/>
      <c r="AL397" s="583"/>
      <c r="AM397" s="583"/>
      <c r="AN397" s="583"/>
      <c r="AO397" s="583"/>
      <c r="AP397" s="583"/>
      <c r="AR397" s="119"/>
      <c r="AS397" s="119"/>
    </row>
    <row r="398" spans="2:45" ht="20.100000000000001" customHeight="1" x14ac:dyDescent="0.4">
      <c r="B398" s="644"/>
      <c r="C398" s="723"/>
      <c r="D398" s="723"/>
      <c r="E398" s="723"/>
      <c r="F398" s="583"/>
      <c r="G398" s="583"/>
      <c r="H398" s="583"/>
      <c r="I398" s="583"/>
      <c r="J398" s="721"/>
      <c r="K398" s="722"/>
      <c r="L398" s="722"/>
      <c r="M398" s="722"/>
      <c r="N398" s="722"/>
      <c r="O398" s="722"/>
      <c r="P398" s="722"/>
      <c r="Q398" s="634"/>
      <c r="R398" s="634"/>
      <c r="S398" s="100"/>
      <c r="T398" s="101"/>
      <c r="U398" s="100"/>
      <c r="V398" s="634"/>
      <c r="W398" s="634"/>
      <c r="X398" s="721"/>
      <c r="Y398" s="722"/>
      <c r="Z398" s="722"/>
      <c r="AA398" s="722"/>
      <c r="AB398" s="722"/>
      <c r="AC398" s="722"/>
      <c r="AD398" s="722"/>
      <c r="AE398" s="583"/>
      <c r="AF398" s="583"/>
      <c r="AG398" s="583"/>
      <c r="AH398" s="583"/>
      <c r="AI398" s="634"/>
      <c r="AJ398" s="583"/>
      <c r="AK398" s="583"/>
      <c r="AL398" s="583"/>
      <c r="AM398" s="583"/>
      <c r="AN398" s="583"/>
      <c r="AO398" s="583"/>
      <c r="AP398" s="583"/>
      <c r="AR398" s="119"/>
      <c r="AS398" s="119"/>
    </row>
    <row r="399" spans="2:45" ht="20.100000000000001" customHeight="1" x14ac:dyDescent="0.4">
      <c r="B399" s="644"/>
      <c r="C399" s="723"/>
      <c r="D399" s="723"/>
      <c r="E399" s="723"/>
      <c r="F399" s="583"/>
      <c r="G399" s="583"/>
      <c r="H399" s="583"/>
      <c r="I399" s="583"/>
      <c r="J399" s="722"/>
      <c r="K399" s="722"/>
      <c r="L399" s="722"/>
      <c r="M399" s="722"/>
      <c r="N399" s="722"/>
      <c r="O399" s="722"/>
      <c r="P399" s="722"/>
      <c r="Q399" s="634"/>
      <c r="R399" s="634"/>
      <c r="S399" s="100"/>
      <c r="T399" s="101"/>
      <c r="U399" s="100"/>
      <c r="V399" s="634"/>
      <c r="W399" s="634"/>
      <c r="X399" s="722"/>
      <c r="Y399" s="722"/>
      <c r="Z399" s="722"/>
      <c r="AA399" s="722"/>
      <c r="AB399" s="722"/>
      <c r="AC399" s="722"/>
      <c r="AD399" s="722"/>
      <c r="AE399" s="583"/>
      <c r="AF399" s="583"/>
      <c r="AG399" s="583"/>
      <c r="AH399" s="583"/>
      <c r="AI399" s="583"/>
      <c r="AJ399" s="583"/>
      <c r="AK399" s="583"/>
      <c r="AL399" s="583"/>
      <c r="AM399" s="583"/>
      <c r="AN399" s="583"/>
      <c r="AO399" s="583"/>
      <c r="AP399" s="583"/>
      <c r="AR399" s="119"/>
      <c r="AS399" s="119"/>
    </row>
    <row r="400" spans="2:45" ht="20.100000000000001" customHeight="1" x14ac:dyDescent="0.4">
      <c r="B400" s="644"/>
      <c r="C400" s="723"/>
      <c r="D400" s="723"/>
      <c r="E400" s="723"/>
      <c r="F400" s="583"/>
      <c r="G400" s="583"/>
      <c r="H400" s="583"/>
      <c r="I400" s="583"/>
      <c r="J400" s="721"/>
      <c r="K400" s="722"/>
      <c r="L400" s="722"/>
      <c r="M400" s="722"/>
      <c r="N400" s="722"/>
      <c r="O400" s="722"/>
      <c r="P400" s="722"/>
      <c r="Q400" s="634"/>
      <c r="R400" s="634"/>
      <c r="S400" s="100"/>
      <c r="T400" s="101"/>
      <c r="U400" s="100"/>
      <c r="V400" s="634"/>
      <c r="W400" s="634"/>
      <c r="X400" s="721"/>
      <c r="Y400" s="722"/>
      <c r="Z400" s="722"/>
      <c r="AA400" s="722"/>
      <c r="AB400" s="722"/>
      <c r="AC400" s="722"/>
      <c r="AD400" s="722"/>
      <c r="AE400" s="583"/>
      <c r="AF400" s="583"/>
      <c r="AG400" s="583"/>
      <c r="AH400" s="583"/>
      <c r="AI400" s="634"/>
      <c r="AJ400" s="583"/>
      <c r="AK400" s="583"/>
      <c r="AL400" s="583"/>
      <c r="AM400" s="583"/>
      <c r="AN400" s="583"/>
      <c r="AO400" s="583"/>
      <c r="AP400" s="583"/>
      <c r="AR400" s="119"/>
      <c r="AS400" s="119"/>
    </row>
    <row r="401" spans="1:45" ht="20.100000000000001" customHeight="1" x14ac:dyDescent="0.4">
      <c r="B401" s="644"/>
      <c r="C401" s="723"/>
      <c r="D401" s="723"/>
      <c r="E401" s="723"/>
      <c r="F401" s="583"/>
      <c r="G401" s="583"/>
      <c r="H401" s="583"/>
      <c r="I401" s="583"/>
      <c r="J401" s="722"/>
      <c r="K401" s="722"/>
      <c r="L401" s="722"/>
      <c r="M401" s="722"/>
      <c r="N401" s="722"/>
      <c r="O401" s="722"/>
      <c r="P401" s="722"/>
      <c r="Q401" s="634"/>
      <c r="R401" s="634"/>
      <c r="S401" s="100"/>
      <c r="T401" s="101"/>
      <c r="U401" s="100"/>
      <c r="V401" s="634"/>
      <c r="W401" s="634"/>
      <c r="X401" s="722"/>
      <c r="Y401" s="722"/>
      <c r="Z401" s="722"/>
      <c r="AA401" s="722"/>
      <c r="AB401" s="722"/>
      <c r="AC401" s="722"/>
      <c r="AD401" s="722"/>
      <c r="AE401" s="583"/>
      <c r="AF401" s="583"/>
      <c r="AG401" s="583"/>
      <c r="AH401" s="583"/>
      <c r="AI401" s="583"/>
      <c r="AJ401" s="583"/>
      <c r="AK401" s="583"/>
      <c r="AL401" s="583"/>
      <c r="AM401" s="583"/>
      <c r="AN401" s="583"/>
      <c r="AO401" s="583"/>
      <c r="AP401" s="583"/>
    </row>
    <row r="402" spans="1:45" ht="15.75" customHeight="1" thickBot="1" x14ac:dyDescent="0.45">
      <c r="A402" s="102"/>
      <c r="B402" s="103"/>
      <c r="C402" s="104"/>
      <c r="D402" s="104"/>
      <c r="E402" s="104"/>
      <c r="F402" s="103"/>
      <c r="G402" s="103"/>
      <c r="H402" s="103"/>
      <c r="I402" s="103"/>
      <c r="J402" s="103"/>
      <c r="K402" s="105"/>
      <c r="L402" s="105"/>
      <c r="M402" s="106"/>
      <c r="N402" s="107"/>
      <c r="O402" s="106"/>
      <c r="P402" s="105"/>
      <c r="Q402" s="105"/>
      <c r="R402" s="103"/>
      <c r="S402" s="103"/>
      <c r="T402" s="103"/>
      <c r="U402" s="103"/>
      <c r="V402" s="103"/>
      <c r="W402" s="108"/>
      <c r="X402" s="108"/>
      <c r="Y402" s="108"/>
      <c r="Z402" s="108"/>
      <c r="AA402" s="108"/>
      <c r="AB402" s="108"/>
      <c r="AC402" s="102"/>
    </row>
    <row r="403" spans="1:45" ht="20.25" customHeight="1" x14ac:dyDescent="0.4">
      <c r="D403" s="714" t="s">
        <v>8</v>
      </c>
      <c r="E403" s="715"/>
      <c r="F403" s="715"/>
      <c r="G403" s="715"/>
      <c r="H403" s="715"/>
      <c r="I403" s="715"/>
      <c r="J403" s="715" t="s">
        <v>5</v>
      </c>
      <c r="K403" s="715"/>
      <c r="L403" s="715"/>
      <c r="M403" s="715"/>
      <c r="N403" s="715"/>
      <c r="O403" s="715"/>
      <c r="P403" s="715"/>
      <c r="Q403" s="715"/>
      <c r="R403" s="614" t="s">
        <v>9</v>
      </c>
      <c r="S403" s="614"/>
      <c r="T403" s="614"/>
      <c r="U403" s="614"/>
      <c r="V403" s="614"/>
      <c r="W403" s="614"/>
      <c r="X403" s="614"/>
      <c r="Y403" s="614"/>
      <c r="Z403" s="614"/>
      <c r="AA403" s="615" t="s">
        <v>10</v>
      </c>
      <c r="AB403" s="615"/>
      <c r="AC403" s="615"/>
      <c r="AD403" s="615" t="s">
        <v>11</v>
      </c>
      <c r="AE403" s="615"/>
      <c r="AF403" s="615"/>
      <c r="AG403" s="615"/>
      <c r="AH403" s="615"/>
      <c r="AI403" s="615"/>
      <c r="AJ403" s="615"/>
      <c r="AK403" s="615"/>
      <c r="AL403" s="615"/>
      <c r="AM403" s="643"/>
    </row>
    <row r="404" spans="1:45" ht="30" customHeight="1" x14ac:dyDescent="0.4">
      <c r="D404" s="718" t="s">
        <v>12</v>
      </c>
      <c r="E404" s="644"/>
      <c r="F404" s="644"/>
      <c r="G404" s="644"/>
      <c r="H404" s="644"/>
      <c r="I404" s="644"/>
      <c r="J404" s="644"/>
      <c r="K404" s="644"/>
      <c r="L404" s="644"/>
      <c r="M404" s="644"/>
      <c r="N404" s="644"/>
      <c r="O404" s="644"/>
      <c r="P404" s="644"/>
      <c r="Q404" s="644"/>
      <c r="R404" s="639"/>
      <c r="S404" s="639"/>
      <c r="T404" s="639"/>
      <c r="U404" s="639"/>
      <c r="V404" s="639"/>
      <c r="W404" s="639"/>
      <c r="X404" s="639"/>
      <c r="Y404" s="639"/>
      <c r="Z404" s="639"/>
      <c r="AA404" s="724"/>
      <c r="AB404" s="724"/>
      <c r="AC404" s="724"/>
      <c r="AD404" s="595"/>
      <c r="AE404" s="595"/>
      <c r="AF404" s="595"/>
      <c r="AG404" s="595"/>
      <c r="AH404" s="595"/>
      <c r="AI404" s="595"/>
      <c r="AJ404" s="595"/>
      <c r="AK404" s="595"/>
      <c r="AL404" s="595"/>
      <c r="AM404" s="596"/>
    </row>
    <row r="405" spans="1:45" ht="30" customHeight="1" x14ac:dyDescent="0.4">
      <c r="D405" s="718" t="s">
        <v>12</v>
      </c>
      <c r="E405" s="644"/>
      <c r="F405" s="644"/>
      <c r="G405" s="644"/>
      <c r="H405" s="644"/>
      <c r="I405" s="644"/>
      <c r="J405" s="644"/>
      <c r="K405" s="644"/>
      <c r="L405" s="644"/>
      <c r="M405" s="644"/>
      <c r="N405" s="644"/>
      <c r="O405" s="644"/>
      <c r="P405" s="644"/>
      <c r="Q405" s="644"/>
      <c r="R405" s="639"/>
      <c r="S405" s="639"/>
      <c r="T405" s="639"/>
      <c r="U405" s="639"/>
      <c r="V405" s="639"/>
      <c r="W405" s="639"/>
      <c r="X405" s="639"/>
      <c r="Y405" s="639"/>
      <c r="Z405" s="639"/>
      <c r="AA405" s="613"/>
      <c r="AB405" s="613"/>
      <c r="AC405" s="613"/>
      <c r="AD405" s="595"/>
      <c r="AE405" s="595"/>
      <c r="AF405" s="595"/>
      <c r="AG405" s="595"/>
      <c r="AH405" s="595"/>
      <c r="AI405" s="595"/>
      <c r="AJ405" s="595"/>
      <c r="AK405" s="595"/>
      <c r="AL405" s="595"/>
      <c r="AM405" s="596"/>
    </row>
    <row r="406" spans="1:45" ht="30" customHeight="1" thickBot="1" x14ac:dyDescent="0.45">
      <c r="D406" s="616" t="s">
        <v>12</v>
      </c>
      <c r="E406" s="617"/>
      <c r="F406" s="617"/>
      <c r="G406" s="617"/>
      <c r="H406" s="617"/>
      <c r="I406" s="617"/>
      <c r="J406" s="617"/>
      <c r="K406" s="617"/>
      <c r="L406" s="617"/>
      <c r="M406" s="617"/>
      <c r="N406" s="617"/>
      <c r="O406" s="617"/>
      <c r="P406" s="617"/>
      <c r="Q406" s="617"/>
      <c r="R406" s="716"/>
      <c r="S406" s="716"/>
      <c r="T406" s="716"/>
      <c r="U406" s="716"/>
      <c r="V406" s="716"/>
      <c r="W406" s="716"/>
      <c r="X406" s="716"/>
      <c r="Y406" s="716"/>
      <c r="Z406" s="716"/>
      <c r="AA406" s="717"/>
      <c r="AB406" s="717"/>
      <c r="AC406" s="717"/>
      <c r="AD406" s="641"/>
      <c r="AE406" s="641"/>
      <c r="AF406" s="641"/>
      <c r="AG406" s="641"/>
      <c r="AH406" s="641"/>
      <c r="AI406" s="641"/>
      <c r="AJ406" s="641"/>
      <c r="AK406" s="641"/>
      <c r="AL406" s="641"/>
      <c r="AM406" s="642"/>
    </row>
    <row r="407" spans="1:45" ht="14.25" customHeight="1" x14ac:dyDescent="0.4">
      <c r="A407" s="115"/>
      <c r="B407" s="640" t="str">
        <f>U12組合せ!$B$1</f>
        <v>ＪＦＡ　Ｕ-１２サッカーリーグ2021（in栃木） 宇都宮地区リーグ戦（前期）</v>
      </c>
      <c r="C407" s="640"/>
      <c r="D407" s="640"/>
      <c r="E407" s="640"/>
      <c r="F407" s="640"/>
      <c r="G407" s="640"/>
      <c r="H407" s="640"/>
      <c r="I407" s="640"/>
      <c r="J407" s="640"/>
      <c r="K407" s="640"/>
      <c r="L407" s="640"/>
      <c r="M407" s="640"/>
      <c r="N407" s="640"/>
      <c r="O407" s="640"/>
      <c r="P407" s="640"/>
      <c r="Q407" s="640"/>
      <c r="R407" s="640"/>
      <c r="S407" s="640"/>
      <c r="T407" s="640"/>
      <c r="U407" s="640"/>
      <c r="V407" s="640"/>
      <c r="W407" s="640"/>
      <c r="X407" s="640"/>
      <c r="Y407" s="640"/>
      <c r="Z407" s="640"/>
      <c r="AA407" s="640"/>
      <c r="AB407" s="640"/>
      <c r="AC407" s="612" t="str">
        <f>"【A･"&amp;(U12組合せ!$H$3)&amp;"】"</f>
        <v>【A･Ｃ ブロック】</v>
      </c>
      <c r="AD407" s="612"/>
      <c r="AE407" s="612"/>
      <c r="AF407" s="612"/>
      <c r="AG407" s="612"/>
      <c r="AH407" s="612"/>
      <c r="AI407" s="612"/>
      <c r="AJ407" s="612"/>
      <c r="AK407" s="612" t="str">
        <f>"第"&amp;(U12組合せ!$D$45)</f>
        <v>第５節</v>
      </c>
      <c r="AL407" s="612"/>
      <c r="AM407" s="612"/>
      <c r="AN407" s="612"/>
      <c r="AO407" s="612"/>
      <c r="AP407" s="597" t="s">
        <v>309</v>
      </c>
      <c r="AQ407" s="598"/>
    </row>
    <row r="408" spans="1:45" ht="14.25" customHeight="1" x14ac:dyDescent="0.4">
      <c r="A408" s="115"/>
      <c r="B408" s="640"/>
      <c r="C408" s="640"/>
      <c r="D408" s="640"/>
      <c r="E408" s="640"/>
      <c r="F408" s="640"/>
      <c r="G408" s="640"/>
      <c r="H408" s="640"/>
      <c r="I408" s="640"/>
      <c r="J408" s="640"/>
      <c r="K408" s="640"/>
      <c r="L408" s="640"/>
      <c r="M408" s="640"/>
      <c r="N408" s="640"/>
      <c r="O408" s="640"/>
      <c r="P408" s="640"/>
      <c r="Q408" s="640"/>
      <c r="R408" s="640"/>
      <c r="S408" s="640"/>
      <c r="T408" s="640"/>
      <c r="U408" s="640"/>
      <c r="V408" s="640"/>
      <c r="W408" s="640"/>
      <c r="X408" s="640"/>
      <c r="Y408" s="640"/>
      <c r="Z408" s="640"/>
      <c r="AA408" s="640"/>
      <c r="AB408" s="640"/>
      <c r="AC408" s="612"/>
      <c r="AD408" s="612"/>
      <c r="AE408" s="612"/>
      <c r="AF408" s="612"/>
      <c r="AG408" s="612"/>
      <c r="AH408" s="612"/>
      <c r="AI408" s="612"/>
      <c r="AJ408" s="612"/>
      <c r="AK408" s="612"/>
      <c r="AL408" s="612"/>
      <c r="AM408" s="612"/>
      <c r="AN408" s="612"/>
      <c r="AO408" s="612"/>
      <c r="AP408" s="598"/>
      <c r="AQ408" s="598"/>
      <c r="AR408" s="115"/>
      <c r="AS408" s="115"/>
    </row>
    <row r="409" spans="1:45" ht="27.75" customHeight="1" x14ac:dyDescent="0.4">
      <c r="C409" s="635" t="s">
        <v>1</v>
      </c>
      <c r="D409" s="635"/>
      <c r="E409" s="635"/>
      <c r="F409" s="635"/>
      <c r="G409" s="725" t="str">
        <f>U12対戦スケジュール!C110</f>
        <v>GP白沢 北 AM</v>
      </c>
      <c r="H409" s="726"/>
      <c r="I409" s="726"/>
      <c r="J409" s="726"/>
      <c r="K409" s="726"/>
      <c r="L409" s="726"/>
      <c r="M409" s="726"/>
      <c r="N409" s="726"/>
      <c r="O409" s="727"/>
      <c r="P409" s="635" t="s">
        <v>0</v>
      </c>
      <c r="Q409" s="635"/>
      <c r="R409" s="635"/>
      <c r="S409" s="635"/>
      <c r="T409" s="636" t="str">
        <f>S414</f>
        <v>国本ＪＳＣ</v>
      </c>
      <c r="U409" s="636"/>
      <c r="V409" s="636"/>
      <c r="W409" s="636"/>
      <c r="X409" s="636"/>
      <c r="Y409" s="636"/>
      <c r="Z409" s="636"/>
      <c r="AA409" s="636"/>
      <c r="AB409" s="636"/>
      <c r="AC409" s="635" t="s">
        <v>2</v>
      </c>
      <c r="AD409" s="635"/>
      <c r="AE409" s="635"/>
      <c r="AF409" s="635"/>
      <c r="AG409" s="618">
        <f>U12組合せ!B45</f>
        <v>44387</v>
      </c>
      <c r="AH409" s="619"/>
      <c r="AI409" s="619"/>
      <c r="AJ409" s="619"/>
      <c r="AK409" s="619"/>
      <c r="AL409" s="619"/>
      <c r="AM409" s="620" t="str">
        <f>"（"&amp;TEXT(AG409,"aaa")&amp;"）"</f>
        <v>（土）</v>
      </c>
      <c r="AN409" s="620"/>
      <c r="AO409" s="621"/>
    </row>
    <row r="410" spans="1:45" ht="15" customHeight="1" x14ac:dyDescent="0.4">
      <c r="C410" s="96" t="str">
        <f>U12対戦スケジュール!C109</f>
        <v>A2358　C45</v>
      </c>
      <c r="D410" s="102"/>
      <c r="E410" s="102"/>
      <c r="F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  <c r="V410" s="102"/>
      <c r="W410" s="95"/>
      <c r="X410" s="95"/>
      <c r="Y410" s="95"/>
      <c r="Z410" s="95"/>
      <c r="AA410" s="95"/>
      <c r="AB410" s="95"/>
      <c r="AC410" s="95"/>
    </row>
    <row r="411" spans="1:45" ht="29.25" customHeight="1" x14ac:dyDescent="0.4">
      <c r="C411" s="637" t="s">
        <v>484</v>
      </c>
      <c r="D411" s="637"/>
      <c r="E411" s="584" t="s">
        <v>473</v>
      </c>
      <c r="F411" s="584"/>
      <c r="G411" s="584"/>
      <c r="H411" s="584"/>
      <c r="I411" s="584"/>
      <c r="J411" s="584"/>
      <c r="K411" s="584"/>
      <c r="L411" s="584"/>
      <c r="M411" s="584"/>
      <c r="N411" s="584"/>
      <c r="O411" s="94"/>
      <c r="P411" s="94"/>
      <c r="Q411" s="636" t="s">
        <v>492</v>
      </c>
      <c r="R411" s="636"/>
      <c r="S411" s="709" t="s">
        <v>477</v>
      </c>
      <c r="T411" s="709"/>
      <c r="U411" s="709"/>
      <c r="V411" s="709"/>
      <c r="W411" s="709"/>
      <c r="X411" s="709"/>
      <c r="Y411" s="709"/>
      <c r="Z411" s="709"/>
      <c r="AA411" s="709"/>
      <c r="AB411" s="709"/>
      <c r="AC411" s="92"/>
      <c r="AD411" s="93"/>
      <c r="AE411" s="637" t="s">
        <v>500</v>
      </c>
      <c r="AF411" s="637"/>
      <c r="AG411" s="584" t="s">
        <v>481</v>
      </c>
      <c r="AH411" s="584"/>
      <c r="AI411" s="584"/>
      <c r="AJ411" s="584"/>
      <c r="AK411" s="584"/>
      <c r="AL411" s="584"/>
      <c r="AM411" s="584"/>
      <c r="AN411" s="584"/>
      <c r="AO411" s="584"/>
      <c r="AP411" s="584"/>
      <c r="AR411" s="96">
        <f>418/2</f>
        <v>209</v>
      </c>
    </row>
    <row r="412" spans="1:45" ht="29.25" customHeight="1" x14ac:dyDescent="0.4">
      <c r="C412" s="636" t="s">
        <v>486</v>
      </c>
      <c r="D412" s="636"/>
      <c r="E412" s="709" t="s">
        <v>474</v>
      </c>
      <c r="F412" s="709"/>
      <c r="G412" s="709"/>
      <c r="H412" s="709"/>
      <c r="I412" s="709"/>
      <c r="J412" s="709"/>
      <c r="K412" s="709"/>
      <c r="L412" s="709"/>
      <c r="M412" s="709"/>
      <c r="N412" s="709"/>
      <c r="O412" s="94"/>
      <c r="P412" s="94"/>
      <c r="Q412" s="637" t="s">
        <v>494</v>
      </c>
      <c r="R412" s="637"/>
      <c r="S412" s="584" t="s">
        <v>478</v>
      </c>
      <c r="T412" s="584"/>
      <c r="U412" s="584"/>
      <c r="V412" s="584"/>
      <c r="W412" s="584"/>
      <c r="X412" s="584"/>
      <c r="Y412" s="584"/>
      <c r="Z412" s="584"/>
      <c r="AA412" s="584"/>
      <c r="AB412" s="584"/>
      <c r="AC412" s="92"/>
      <c r="AD412" s="93"/>
      <c r="AE412" s="710" t="s">
        <v>502</v>
      </c>
      <c r="AF412" s="710"/>
      <c r="AG412" s="638" t="s">
        <v>482</v>
      </c>
      <c r="AH412" s="638"/>
      <c r="AI412" s="638"/>
      <c r="AJ412" s="638"/>
      <c r="AK412" s="638"/>
      <c r="AL412" s="638"/>
      <c r="AM412" s="638"/>
      <c r="AN412" s="638"/>
      <c r="AO412" s="638"/>
      <c r="AP412" s="638"/>
      <c r="AR412" s="96">
        <v>112</v>
      </c>
    </row>
    <row r="413" spans="1:45" ht="29.25" customHeight="1" x14ac:dyDescent="0.4">
      <c r="C413" s="636" t="s">
        <v>488</v>
      </c>
      <c r="D413" s="636"/>
      <c r="E413" s="709" t="s">
        <v>475</v>
      </c>
      <c r="F413" s="709"/>
      <c r="G413" s="709"/>
      <c r="H413" s="709"/>
      <c r="I413" s="709"/>
      <c r="J413" s="709"/>
      <c r="K413" s="709"/>
      <c r="L413" s="709"/>
      <c r="M413" s="709"/>
      <c r="N413" s="709"/>
      <c r="O413" s="94"/>
      <c r="P413" s="94"/>
      <c r="Q413" s="637" t="s">
        <v>496</v>
      </c>
      <c r="R413" s="637"/>
      <c r="S413" s="584" t="s">
        <v>479</v>
      </c>
      <c r="T413" s="584"/>
      <c r="U413" s="584"/>
      <c r="V413" s="584"/>
      <c r="W413" s="584"/>
      <c r="X413" s="584"/>
      <c r="Y413" s="584"/>
      <c r="Z413" s="584"/>
      <c r="AA413" s="584"/>
      <c r="AB413" s="584"/>
      <c r="AC413" s="92"/>
      <c r="AD413" s="93"/>
      <c r="AE413" s="636" t="s">
        <v>468</v>
      </c>
      <c r="AF413" s="636"/>
      <c r="AG413" s="709" t="str">
        <f>U12組合せ!H13</f>
        <v>ともぞうSC　U11</v>
      </c>
      <c r="AH413" s="709"/>
      <c r="AI413" s="709"/>
      <c r="AJ413" s="709"/>
      <c r="AK413" s="709"/>
      <c r="AL413" s="709"/>
      <c r="AM413" s="709"/>
      <c r="AN413" s="709"/>
      <c r="AO413" s="709"/>
      <c r="AP413" s="709"/>
      <c r="AR413" s="96">
        <f>AR411-AR412</f>
        <v>97</v>
      </c>
    </row>
    <row r="414" spans="1:45" ht="29.25" customHeight="1" x14ac:dyDescent="0.4">
      <c r="B414" s="102"/>
      <c r="C414" s="637" t="s">
        <v>490</v>
      </c>
      <c r="D414" s="637"/>
      <c r="E414" s="584" t="s">
        <v>476</v>
      </c>
      <c r="F414" s="584"/>
      <c r="G414" s="584"/>
      <c r="H414" s="584"/>
      <c r="I414" s="584"/>
      <c r="J414" s="584"/>
      <c r="K414" s="584"/>
      <c r="L414" s="584"/>
      <c r="M414" s="584"/>
      <c r="N414" s="584"/>
      <c r="O414" s="94"/>
      <c r="P414" s="94"/>
      <c r="Q414" s="636" t="s">
        <v>498</v>
      </c>
      <c r="R414" s="636"/>
      <c r="S414" s="709" t="s">
        <v>480</v>
      </c>
      <c r="T414" s="709"/>
      <c r="U414" s="709"/>
      <c r="V414" s="709"/>
      <c r="W414" s="709"/>
      <c r="X414" s="709"/>
      <c r="Y414" s="709"/>
      <c r="Z414" s="709"/>
      <c r="AA414" s="709"/>
      <c r="AB414" s="709"/>
      <c r="AC414" s="92"/>
      <c r="AD414" s="94"/>
      <c r="AE414" s="636" t="s">
        <v>470</v>
      </c>
      <c r="AF414" s="636"/>
      <c r="AG414" s="709" t="str">
        <f>U12組合せ!H14</f>
        <v>豊郷JFC宇都宮U-12</v>
      </c>
      <c r="AH414" s="709"/>
      <c r="AI414" s="709"/>
      <c r="AJ414" s="709"/>
      <c r="AK414" s="709"/>
      <c r="AL414" s="709"/>
      <c r="AM414" s="709"/>
      <c r="AN414" s="709"/>
      <c r="AO414" s="709"/>
      <c r="AP414" s="709"/>
    </row>
    <row r="415" spans="1:45" ht="30" customHeight="1" x14ac:dyDescent="0.4">
      <c r="O415" s="102"/>
      <c r="P415" s="102"/>
      <c r="AC415" s="95"/>
      <c r="AE415" s="710" t="s">
        <v>471</v>
      </c>
      <c r="AF415" s="710"/>
      <c r="AG415" s="638" t="str">
        <f>U12組合せ!H15</f>
        <v>シャルムグランツSC</v>
      </c>
      <c r="AH415" s="638"/>
      <c r="AI415" s="638"/>
      <c r="AJ415" s="638"/>
      <c r="AK415" s="638"/>
      <c r="AL415" s="638"/>
      <c r="AM415" s="638"/>
      <c r="AN415" s="638"/>
      <c r="AO415" s="638"/>
      <c r="AP415" s="638"/>
    </row>
    <row r="416" spans="1:45" ht="6.75" customHeight="1" x14ac:dyDescent="0.4">
      <c r="C416" s="117"/>
      <c r="D416" s="118"/>
      <c r="E416" s="118"/>
      <c r="F416" s="118"/>
      <c r="G416" s="118"/>
      <c r="H416" s="118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18"/>
      <c r="U416" s="102"/>
      <c r="V416" s="118"/>
      <c r="W416" s="102"/>
      <c r="X416" s="118"/>
      <c r="Y416" s="102"/>
      <c r="Z416" s="118"/>
      <c r="AA416" s="102"/>
      <c r="AB416" s="118"/>
      <c r="AC416" s="118"/>
    </row>
    <row r="417" spans="2:51" ht="21" customHeight="1" x14ac:dyDescent="0.4">
      <c r="B417" s="118" t="str">
        <f ca="1">IF(B419="①","【監督会議 8：20～】","【監督会議 12：50～】")</f>
        <v>【監督会議 8：20～】</v>
      </c>
      <c r="I417" s="96" t="s">
        <v>330</v>
      </c>
    </row>
    <row r="418" spans="2:51" ht="20.25" customHeight="1" x14ac:dyDescent="0.4">
      <c r="B418" s="97"/>
      <c r="C418" s="711" t="s">
        <v>3</v>
      </c>
      <c r="D418" s="711"/>
      <c r="E418" s="711"/>
      <c r="F418" s="712" t="s">
        <v>4</v>
      </c>
      <c r="G418" s="712"/>
      <c r="H418" s="712"/>
      <c r="I418" s="712"/>
      <c r="J418" s="711" t="s">
        <v>5</v>
      </c>
      <c r="K418" s="713"/>
      <c r="L418" s="713"/>
      <c r="M418" s="713"/>
      <c r="N418" s="713"/>
      <c r="O418" s="713"/>
      <c r="P418" s="713"/>
      <c r="Q418" s="711" t="s">
        <v>32</v>
      </c>
      <c r="R418" s="711"/>
      <c r="S418" s="711"/>
      <c r="T418" s="711"/>
      <c r="U418" s="711"/>
      <c r="V418" s="711"/>
      <c r="W418" s="711"/>
      <c r="X418" s="711" t="s">
        <v>5</v>
      </c>
      <c r="Y418" s="713"/>
      <c r="Z418" s="713"/>
      <c r="AA418" s="713"/>
      <c r="AB418" s="713"/>
      <c r="AC418" s="713"/>
      <c r="AD418" s="713"/>
      <c r="AE418" s="712" t="s">
        <v>4</v>
      </c>
      <c r="AF418" s="712"/>
      <c r="AG418" s="712"/>
      <c r="AH418" s="712"/>
      <c r="AI418" s="711" t="s">
        <v>6</v>
      </c>
      <c r="AJ418" s="711"/>
      <c r="AK418" s="713"/>
      <c r="AL418" s="713"/>
      <c r="AM418" s="713"/>
      <c r="AN418" s="713"/>
      <c r="AO418" s="713"/>
      <c r="AP418" s="713"/>
    </row>
    <row r="419" spans="2:51" ht="20.100000000000001" customHeight="1" x14ac:dyDescent="0.4">
      <c r="B419" s="644" t="str">
        <f ca="1">DBCS(INDIRECT("U12対戦スケジュール!A"&amp;(ROW()-1)/2-97))</f>
        <v>①</v>
      </c>
      <c r="C419" s="645">
        <f ca="1">INDIRECT("U12対戦スケジュール!B"&amp;(ROW()-1)/2-97)</f>
        <v>0.375</v>
      </c>
      <c r="D419" s="646"/>
      <c r="E419" s="647"/>
      <c r="F419" s="583"/>
      <c r="G419" s="583"/>
      <c r="H419" s="583"/>
      <c r="I419" s="583"/>
      <c r="J419" s="636" t="str">
        <f ca="1">VLOOKUP(AR419,U12組合せ!B$10:E$19,3,TRUE)</f>
        <v>unionscU12</v>
      </c>
      <c r="K419" s="637"/>
      <c r="L419" s="637"/>
      <c r="M419" s="637"/>
      <c r="N419" s="637"/>
      <c r="O419" s="637"/>
      <c r="P419" s="637"/>
      <c r="Q419" s="635" t="str">
        <f>IF(OR(S419="",S420=""),"",S419+S420)</f>
        <v/>
      </c>
      <c r="R419" s="635"/>
      <c r="S419" s="98"/>
      <c r="T419" s="99" t="s">
        <v>7</v>
      </c>
      <c r="U419" s="98"/>
      <c r="V419" s="635" t="str">
        <f>IF(OR(U419="",U420=""),"",U419+U420)</f>
        <v/>
      </c>
      <c r="W419" s="635"/>
      <c r="X419" s="636" t="str">
        <f ca="1">VLOOKUP(AS419,U12組合せ!B$10:E$19,3,TRUE)</f>
        <v>ブラッドレスＳＣ</v>
      </c>
      <c r="Y419" s="637"/>
      <c r="Z419" s="637"/>
      <c r="AA419" s="637"/>
      <c r="AB419" s="637"/>
      <c r="AC419" s="637"/>
      <c r="AD419" s="637"/>
      <c r="AE419" s="583"/>
      <c r="AF419" s="583"/>
      <c r="AG419" s="583"/>
      <c r="AH419" s="583"/>
      <c r="AI419" s="634" t="str">
        <f ca="1">DBCS(INDIRECT("U12対戦スケジュール!F"&amp;(ROW()-1)/2-97))</f>
        <v>Ａ１０／Ｃ４／Ｃ５／Ａ１０</v>
      </c>
      <c r="AJ419" s="583"/>
      <c r="AK419" s="583"/>
      <c r="AL419" s="583"/>
      <c r="AM419" s="583"/>
      <c r="AN419" s="583"/>
      <c r="AO419" s="583"/>
      <c r="AP419" s="583"/>
      <c r="AR419" s="119">
        <f ca="1">INDIRECT("U12対戦スケジュール!ｃ"&amp;(ROW()-1)/2-97)</f>
        <v>3</v>
      </c>
      <c r="AS419" s="119">
        <f ca="1">INDIRECT("U12対戦スケジュール!E"&amp;(ROW()-1)/2-97)</f>
        <v>5</v>
      </c>
      <c r="AT419" s="119"/>
      <c r="AU419" s="102"/>
      <c r="AV419" s="102"/>
      <c r="AW419" s="102"/>
      <c r="AX419" s="102"/>
      <c r="AY419" s="102"/>
    </row>
    <row r="420" spans="2:51" ht="20.100000000000001" customHeight="1" x14ac:dyDescent="0.4">
      <c r="B420" s="644"/>
      <c r="C420" s="648"/>
      <c r="D420" s="649"/>
      <c r="E420" s="650"/>
      <c r="F420" s="583"/>
      <c r="G420" s="583"/>
      <c r="H420" s="583"/>
      <c r="I420" s="583"/>
      <c r="J420" s="637"/>
      <c r="K420" s="637"/>
      <c r="L420" s="637"/>
      <c r="M420" s="637"/>
      <c r="N420" s="637"/>
      <c r="O420" s="637"/>
      <c r="P420" s="637"/>
      <c r="Q420" s="635"/>
      <c r="R420" s="635"/>
      <c r="S420" s="98"/>
      <c r="T420" s="99" t="s">
        <v>7</v>
      </c>
      <c r="U420" s="98"/>
      <c r="V420" s="635"/>
      <c r="W420" s="635"/>
      <c r="X420" s="637"/>
      <c r="Y420" s="637"/>
      <c r="Z420" s="637"/>
      <c r="AA420" s="637"/>
      <c r="AB420" s="637"/>
      <c r="AC420" s="637"/>
      <c r="AD420" s="637"/>
      <c r="AE420" s="583"/>
      <c r="AF420" s="583"/>
      <c r="AG420" s="583"/>
      <c r="AH420" s="583"/>
      <c r="AI420" s="583"/>
      <c r="AJ420" s="583"/>
      <c r="AK420" s="583"/>
      <c r="AL420" s="583"/>
      <c r="AM420" s="583"/>
      <c r="AN420" s="583"/>
      <c r="AO420" s="583"/>
      <c r="AP420" s="583"/>
      <c r="AR420" s="119"/>
      <c r="AS420" s="119"/>
      <c r="AU420" s="102"/>
      <c r="AV420" s="102"/>
      <c r="AW420" s="102"/>
      <c r="AX420" s="102"/>
      <c r="AY420" s="102"/>
    </row>
    <row r="421" spans="2:51" ht="20.100000000000001" customHeight="1" x14ac:dyDescent="0.4">
      <c r="B421" s="644" t="str">
        <f ca="1">DBCS(INDIRECT("U12対戦スケジュール!A"&amp;(ROW()-1)/2-97))</f>
        <v>②</v>
      </c>
      <c r="C421" s="645">
        <f ca="1">INDIRECT("U12対戦スケジュール!B"&amp;(ROW()-1)/2-97)</f>
        <v>0.41699999999999998</v>
      </c>
      <c r="D421" s="646"/>
      <c r="E421" s="647"/>
      <c r="F421" s="583"/>
      <c r="G421" s="583"/>
      <c r="H421" s="583"/>
      <c r="I421" s="583"/>
      <c r="J421" s="636" t="str">
        <f>U12組合せ!H13</f>
        <v>ともぞうSC　U11</v>
      </c>
      <c r="K421" s="637"/>
      <c r="L421" s="637"/>
      <c r="M421" s="637"/>
      <c r="N421" s="637"/>
      <c r="O421" s="637"/>
      <c r="P421" s="637"/>
      <c r="Q421" s="635" t="str">
        <f>IF(OR(S421="",S422=""),"",S421+S422)</f>
        <v/>
      </c>
      <c r="R421" s="635"/>
      <c r="S421" s="98"/>
      <c r="T421" s="99" t="s">
        <v>7</v>
      </c>
      <c r="U421" s="98"/>
      <c r="V421" s="635" t="str">
        <f>IF(OR(U421="",U422=""),"",U421+U422)</f>
        <v/>
      </c>
      <c r="W421" s="635"/>
      <c r="X421" s="636" t="str">
        <f>U12組合せ!H14</f>
        <v>豊郷JFC宇都宮U-12</v>
      </c>
      <c r="Y421" s="637"/>
      <c r="Z421" s="637"/>
      <c r="AA421" s="637"/>
      <c r="AB421" s="637"/>
      <c r="AC421" s="637"/>
      <c r="AD421" s="637"/>
      <c r="AE421" s="583"/>
      <c r="AF421" s="583"/>
      <c r="AG421" s="583"/>
      <c r="AH421" s="583"/>
      <c r="AI421" s="634" t="str">
        <f ca="1">DBCS(INDIRECT("U12対戦スケジュール!F"&amp;(ROW()-1)/2-97))</f>
        <v>Ｃ６／Ａ２／Ａ７／Ｃ６</v>
      </c>
      <c r="AJ421" s="583"/>
      <c r="AK421" s="583"/>
      <c r="AL421" s="583"/>
      <c r="AM421" s="583"/>
      <c r="AN421" s="583"/>
      <c r="AO421" s="583"/>
      <c r="AP421" s="583"/>
      <c r="AR421" s="119" t="str">
        <f ca="1">INDIRECT("U12対戦スケジュール!ｃ"&amp;(ROW()-1)/2-97)</f>
        <v>C4</v>
      </c>
      <c r="AS421" s="119" t="str">
        <f ca="1">INDIRECT("U12対戦スケジュール!E"&amp;(ROW()-1)/2-97)</f>
        <v>C5</v>
      </c>
    </row>
    <row r="422" spans="2:51" ht="20.100000000000001" customHeight="1" x14ac:dyDescent="0.4">
      <c r="B422" s="644"/>
      <c r="C422" s="648"/>
      <c r="D422" s="649"/>
      <c r="E422" s="650"/>
      <c r="F422" s="583"/>
      <c r="G422" s="583"/>
      <c r="H422" s="583"/>
      <c r="I422" s="583"/>
      <c r="J422" s="637"/>
      <c r="K422" s="637"/>
      <c r="L422" s="637"/>
      <c r="M422" s="637"/>
      <c r="N422" s="637"/>
      <c r="O422" s="637"/>
      <c r="P422" s="637"/>
      <c r="Q422" s="635"/>
      <c r="R422" s="635"/>
      <c r="S422" s="98"/>
      <c r="T422" s="99" t="s">
        <v>7</v>
      </c>
      <c r="U422" s="98"/>
      <c r="V422" s="635"/>
      <c r="W422" s="635"/>
      <c r="X422" s="637"/>
      <c r="Y422" s="637"/>
      <c r="Z422" s="637"/>
      <c r="AA422" s="637"/>
      <c r="AB422" s="637"/>
      <c r="AC422" s="637"/>
      <c r="AD422" s="637"/>
      <c r="AE422" s="583"/>
      <c r="AF422" s="583"/>
      <c r="AG422" s="583"/>
      <c r="AH422" s="583"/>
      <c r="AI422" s="583"/>
      <c r="AJ422" s="583"/>
      <c r="AK422" s="583"/>
      <c r="AL422" s="583"/>
      <c r="AM422" s="583"/>
      <c r="AN422" s="583"/>
      <c r="AO422" s="583"/>
      <c r="AP422" s="583"/>
      <c r="AR422" s="119"/>
      <c r="AS422" s="119"/>
    </row>
    <row r="423" spans="2:51" ht="20.100000000000001" customHeight="1" x14ac:dyDescent="0.4">
      <c r="B423" s="644" t="str">
        <f ca="1">DBCS(INDIRECT("U12対戦スケジュール!A"&amp;(ROW()-1)/2-97))</f>
        <v>③</v>
      </c>
      <c r="C423" s="645">
        <f ca="1">INDIRECT("U12対戦スケジュール!B"&amp;(ROW()-1)/2-97)</f>
        <v>0.45899999999999996</v>
      </c>
      <c r="D423" s="646"/>
      <c r="E423" s="647"/>
      <c r="F423" s="583"/>
      <c r="G423" s="583"/>
      <c r="H423" s="583"/>
      <c r="I423" s="583"/>
      <c r="J423" s="636" t="str">
        <f ca="1">VLOOKUP(AR423,U12組合せ!B$10:E$19,3,TRUE)</f>
        <v>石井ＦＣ</v>
      </c>
      <c r="K423" s="637"/>
      <c r="L423" s="637"/>
      <c r="M423" s="637"/>
      <c r="N423" s="637"/>
      <c r="O423" s="637"/>
      <c r="P423" s="637"/>
      <c r="Q423" s="635" t="str">
        <f>IF(OR(S423="",S424=""),"",S423+S424)</f>
        <v/>
      </c>
      <c r="R423" s="635"/>
      <c r="S423" s="98"/>
      <c r="T423" s="99" t="s">
        <v>7</v>
      </c>
      <c r="U423" s="98"/>
      <c r="V423" s="635" t="str">
        <f>IF(OR(U423="",U424=""),"",U423+U424)</f>
        <v/>
      </c>
      <c r="W423" s="635"/>
      <c r="X423" s="636" t="str">
        <f ca="1">VLOOKUP(AS423,U12組合せ!B$10:E$19,3,TRUE)</f>
        <v>国本ＪＳＣ</v>
      </c>
      <c r="Y423" s="637"/>
      <c r="Z423" s="637"/>
      <c r="AA423" s="637"/>
      <c r="AB423" s="637"/>
      <c r="AC423" s="637"/>
      <c r="AD423" s="637"/>
      <c r="AE423" s="583"/>
      <c r="AF423" s="583"/>
      <c r="AG423" s="583"/>
      <c r="AH423" s="583"/>
      <c r="AI423" s="634" t="str">
        <f ca="1">DBCS(INDIRECT("U12対戦スケジュール!F"&amp;(ROW()-1)/2-97))</f>
        <v>Ａ７／Ａ３／Ａ５／Ａ７</v>
      </c>
      <c r="AJ423" s="583"/>
      <c r="AK423" s="583"/>
      <c r="AL423" s="583"/>
      <c r="AM423" s="583"/>
      <c r="AN423" s="583"/>
      <c r="AO423" s="583"/>
      <c r="AP423" s="583"/>
      <c r="AR423" s="119">
        <f t="shared" ref="AR423" ca="1" si="0">INDIRECT("U12対戦スケジュール!ｃ"&amp;(ROW()-1)/2-97)</f>
        <v>2</v>
      </c>
      <c r="AS423" s="119">
        <f t="shared" ref="AS423" ca="1" si="1">INDIRECT("U12対戦スケジュール!E"&amp;(ROW()-1)/2-97)</f>
        <v>8</v>
      </c>
    </row>
    <row r="424" spans="2:51" ht="20.100000000000001" customHeight="1" x14ac:dyDescent="0.4">
      <c r="B424" s="644"/>
      <c r="C424" s="648"/>
      <c r="D424" s="649"/>
      <c r="E424" s="650"/>
      <c r="F424" s="583"/>
      <c r="G424" s="583"/>
      <c r="H424" s="583"/>
      <c r="I424" s="583"/>
      <c r="J424" s="637"/>
      <c r="K424" s="637"/>
      <c r="L424" s="637"/>
      <c r="M424" s="637"/>
      <c r="N424" s="637"/>
      <c r="O424" s="637"/>
      <c r="P424" s="637"/>
      <c r="Q424" s="635"/>
      <c r="R424" s="635"/>
      <c r="S424" s="98"/>
      <c r="T424" s="99" t="s">
        <v>7</v>
      </c>
      <c r="U424" s="98"/>
      <c r="V424" s="635"/>
      <c r="W424" s="635"/>
      <c r="X424" s="637"/>
      <c r="Y424" s="637"/>
      <c r="Z424" s="637"/>
      <c r="AA424" s="637"/>
      <c r="AB424" s="637"/>
      <c r="AC424" s="637"/>
      <c r="AD424" s="637"/>
      <c r="AE424" s="583"/>
      <c r="AF424" s="583"/>
      <c r="AG424" s="583"/>
      <c r="AH424" s="583"/>
      <c r="AI424" s="583"/>
      <c r="AJ424" s="583"/>
      <c r="AK424" s="583"/>
      <c r="AL424" s="583"/>
      <c r="AM424" s="583"/>
      <c r="AN424" s="583"/>
      <c r="AO424" s="583"/>
      <c r="AP424" s="583"/>
      <c r="AR424" s="119"/>
      <c r="AS424" s="119"/>
    </row>
    <row r="425" spans="2:51" ht="18" customHeight="1" x14ac:dyDescent="0.4">
      <c r="B425" s="644" t="str">
        <f ca="1">DBCS(INDIRECT("U12対戦スケジュール!A"&amp;(ROW()-1)/2-97))</f>
        <v/>
      </c>
      <c r="C425" s="645"/>
      <c r="D425" s="646"/>
      <c r="E425" s="647"/>
      <c r="F425" s="704"/>
      <c r="G425" s="704"/>
      <c r="H425" s="704"/>
      <c r="I425" s="704"/>
      <c r="J425" s="701"/>
      <c r="K425" s="702"/>
      <c r="L425" s="702"/>
      <c r="M425" s="702"/>
      <c r="N425" s="702"/>
      <c r="O425" s="702"/>
      <c r="P425" s="702"/>
      <c r="Q425" s="705"/>
      <c r="R425" s="705"/>
      <c r="S425" s="109"/>
      <c r="T425" s="110"/>
      <c r="U425" s="109"/>
      <c r="V425" s="705"/>
      <c r="W425" s="705"/>
      <c r="X425" s="701"/>
      <c r="Y425" s="702"/>
      <c r="Z425" s="702"/>
      <c r="AA425" s="702"/>
      <c r="AB425" s="702"/>
      <c r="AC425" s="702"/>
      <c r="AD425" s="702"/>
      <c r="AE425" s="704"/>
      <c r="AF425" s="704"/>
      <c r="AG425" s="704"/>
      <c r="AH425" s="704"/>
      <c r="AI425" s="706"/>
      <c r="AJ425" s="707"/>
      <c r="AK425" s="707"/>
      <c r="AL425" s="707"/>
      <c r="AM425" s="707"/>
      <c r="AN425" s="707"/>
      <c r="AO425" s="707"/>
      <c r="AP425" s="707"/>
      <c r="AR425" s="119"/>
      <c r="AS425" s="119"/>
    </row>
    <row r="426" spans="2:51" ht="18" customHeight="1" x14ac:dyDescent="0.4">
      <c r="B426" s="644"/>
      <c r="C426" s="648"/>
      <c r="D426" s="649"/>
      <c r="E426" s="650"/>
      <c r="F426" s="583"/>
      <c r="G426" s="583"/>
      <c r="H426" s="583"/>
      <c r="I426" s="583"/>
      <c r="J426" s="703"/>
      <c r="K426" s="703"/>
      <c r="L426" s="703"/>
      <c r="M426" s="703"/>
      <c r="N426" s="703"/>
      <c r="O426" s="703"/>
      <c r="P426" s="703"/>
      <c r="Q426" s="634"/>
      <c r="R426" s="634"/>
      <c r="S426" s="100"/>
      <c r="T426" s="101"/>
      <c r="U426" s="100"/>
      <c r="V426" s="634"/>
      <c r="W426" s="634"/>
      <c r="X426" s="703"/>
      <c r="Y426" s="703"/>
      <c r="Z426" s="703"/>
      <c r="AA426" s="703"/>
      <c r="AB426" s="703"/>
      <c r="AC426" s="703"/>
      <c r="AD426" s="703"/>
      <c r="AE426" s="583"/>
      <c r="AF426" s="583"/>
      <c r="AG426" s="583"/>
      <c r="AH426" s="583"/>
      <c r="AI426" s="708"/>
      <c r="AJ426" s="708"/>
      <c r="AK426" s="708"/>
      <c r="AL426" s="708"/>
      <c r="AM426" s="708"/>
      <c r="AN426" s="708"/>
      <c r="AO426" s="708"/>
      <c r="AP426" s="708"/>
      <c r="AR426" s="119"/>
      <c r="AS426" s="119"/>
    </row>
    <row r="427" spans="2:51" ht="18" customHeight="1" x14ac:dyDescent="0.4">
      <c r="B427" s="644"/>
      <c r="C427" s="645"/>
      <c r="D427" s="646"/>
      <c r="E427" s="647"/>
      <c r="F427" s="583"/>
      <c r="G427" s="583"/>
      <c r="H427" s="583"/>
      <c r="I427" s="583"/>
      <c r="J427" s="720"/>
      <c r="K427" s="703"/>
      <c r="L427" s="703"/>
      <c r="M427" s="703"/>
      <c r="N427" s="703"/>
      <c r="O427" s="703"/>
      <c r="P427" s="703"/>
      <c r="Q427" s="634"/>
      <c r="R427" s="634"/>
      <c r="S427" s="100"/>
      <c r="T427" s="101"/>
      <c r="U427" s="100"/>
      <c r="V427" s="634"/>
      <c r="W427" s="634"/>
      <c r="X427" s="720"/>
      <c r="Y427" s="703"/>
      <c r="Z427" s="703"/>
      <c r="AA427" s="703"/>
      <c r="AB427" s="703"/>
      <c r="AC427" s="703"/>
      <c r="AD427" s="703"/>
      <c r="AE427" s="583"/>
      <c r="AF427" s="583"/>
      <c r="AG427" s="583"/>
      <c r="AH427" s="583"/>
      <c r="AI427" s="719"/>
      <c r="AJ427" s="708"/>
      <c r="AK427" s="708"/>
      <c r="AL427" s="708"/>
      <c r="AM427" s="708"/>
      <c r="AN427" s="708"/>
      <c r="AO427" s="708"/>
      <c r="AP427" s="708"/>
      <c r="AR427" s="119"/>
      <c r="AS427" s="119"/>
    </row>
    <row r="428" spans="2:51" ht="18" customHeight="1" x14ac:dyDescent="0.4">
      <c r="B428" s="644"/>
      <c r="C428" s="648"/>
      <c r="D428" s="649"/>
      <c r="E428" s="650"/>
      <c r="F428" s="583"/>
      <c r="G428" s="583"/>
      <c r="H428" s="583"/>
      <c r="I428" s="583"/>
      <c r="J428" s="703"/>
      <c r="K428" s="703"/>
      <c r="L428" s="703"/>
      <c r="M428" s="703"/>
      <c r="N428" s="703"/>
      <c r="O428" s="703"/>
      <c r="P428" s="703"/>
      <c r="Q428" s="634"/>
      <c r="R428" s="634"/>
      <c r="S428" s="100"/>
      <c r="T428" s="101"/>
      <c r="U428" s="100"/>
      <c r="V428" s="634"/>
      <c r="W428" s="634"/>
      <c r="X428" s="703"/>
      <c r="Y428" s="703"/>
      <c r="Z428" s="703"/>
      <c r="AA428" s="703"/>
      <c r="AB428" s="703"/>
      <c r="AC428" s="703"/>
      <c r="AD428" s="703"/>
      <c r="AE428" s="583"/>
      <c r="AF428" s="583"/>
      <c r="AG428" s="583"/>
      <c r="AH428" s="583"/>
      <c r="AI428" s="708"/>
      <c r="AJ428" s="708"/>
      <c r="AK428" s="708"/>
      <c r="AL428" s="708"/>
      <c r="AM428" s="708"/>
      <c r="AN428" s="708"/>
      <c r="AO428" s="708"/>
      <c r="AP428" s="708"/>
      <c r="AR428" s="119"/>
      <c r="AS428" s="119"/>
    </row>
    <row r="429" spans="2:51" ht="18" customHeight="1" x14ac:dyDescent="0.4">
      <c r="B429" s="644"/>
      <c r="C429" s="645"/>
      <c r="D429" s="646"/>
      <c r="E429" s="647"/>
      <c r="F429" s="583"/>
      <c r="G429" s="583"/>
      <c r="H429" s="583"/>
      <c r="I429" s="583"/>
      <c r="J429" s="720"/>
      <c r="K429" s="703"/>
      <c r="L429" s="703"/>
      <c r="M429" s="703"/>
      <c r="N429" s="703"/>
      <c r="O429" s="703"/>
      <c r="P429" s="703"/>
      <c r="Q429" s="634"/>
      <c r="R429" s="634"/>
      <c r="S429" s="100"/>
      <c r="T429" s="101"/>
      <c r="U429" s="100"/>
      <c r="V429" s="634"/>
      <c r="W429" s="634"/>
      <c r="X429" s="720"/>
      <c r="Y429" s="703"/>
      <c r="Z429" s="703"/>
      <c r="AA429" s="703"/>
      <c r="AB429" s="703"/>
      <c r="AC429" s="703"/>
      <c r="AD429" s="703"/>
      <c r="AE429" s="583"/>
      <c r="AF429" s="583"/>
      <c r="AG429" s="583"/>
      <c r="AH429" s="583"/>
      <c r="AI429" s="719"/>
      <c r="AJ429" s="708"/>
      <c r="AK429" s="708"/>
      <c r="AL429" s="708"/>
      <c r="AM429" s="708"/>
      <c r="AN429" s="708"/>
      <c r="AO429" s="708"/>
      <c r="AP429" s="708"/>
      <c r="AR429" s="119"/>
      <c r="AS429" s="119"/>
    </row>
    <row r="430" spans="2:51" ht="18" customHeight="1" x14ac:dyDescent="0.4">
      <c r="B430" s="644"/>
      <c r="C430" s="648"/>
      <c r="D430" s="649"/>
      <c r="E430" s="650"/>
      <c r="F430" s="583"/>
      <c r="G430" s="583"/>
      <c r="H430" s="583"/>
      <c r="I430" s="583"/>
      <c r="J430" s="703"/>
      <c r="K430" s="703"/>
      <c r="L430" s="703"/>
      <c r="M430" s="703"/>
      <c r="N430" s="703"/>
      <c r="O430" s="703"/>
      <c r="P430" s="703"/>
      <c r="Q430" s="634"/>
      <c r="R430" s="634"/>
      <c r="S430" s="100"/>
      <c r="T430" s="101"/>
      <c r="U430" s="100"/>
      <c r="V430" s="634"/>
      <c r="W430" s="634"/>
      <c r="X430" s="703"/>
      <c r="Y430" s="703"/>
      <c r="Z430" s="703"/>
      <c r="AA430" s="703"/>
      <c r="AB430" s="703"/>
      <c r="AC430" s="703"/>
      <c r="AD430" s="703"/>
      <c r="AE430" s="583"/>
      <c r="AF430" s="583"/>
      <c r="AG430" s="583"/>
      <c r="AH430" s="583"/>
      <c r="AI430" s="708"/>
      <c r="AJ430" s="708"/>
      <c r="AK430" s="708"/>
      <c r="AL430" s="708"/>
      <c r="AM430" s="708"/>
      <c r="AN430" s="708"/>
      <c r="AO430" s="708"/>
      <c r="AP430" s="708"/>
      <c r="AR430" s="119"/>
      <c r="AS430" s="119"/>
    </row>
    <row r="431" spans="2:51" ht="18" customHeight="1" x14ac:dyDescent="0.4">
      <c r="B431" s="644"/>
      <c r="C431" s="723"/>
      <c r="D431" s="723"/>
      <c r="E431" s="723"/>
      <c r="F431" s="583"/>
      <c r="G431" s="583"/>
      <c r="H431" s="583"/>
      <c r="I431" s="583"/>
      <c r="J431" s="721"/>
      <c r="K431" s="722"/>
      <c r="L431" s="722"/>
      <c r="M431" s="722"/>
      <c r="N431" s="722"/>
      <c r="O431" s="722"/>
      <c r="P431" s="722"/>
      <c r="Q431" s="634"/>
      <c r="R431" s="634"/>
      <c r="S431" s="100"/>
      <c r="T431" s="101"/>
      <c r="U431" s="100"/>
      <c r="V431" s="634"/>
      <c r="W431" s="634"/>
      <c r="X431" s="721"/>
      <c r="Y431" s="722"/>
      <c r="Z431" s="722"/>
      <c r="AA431" s="722"/>
      <c r="AB431" s="722"/>
      <c r="AC431" s="722"/>
      <c r="AD431" s="722"/>
      <c r="AE431" s="583"/>
      <c r="AF431" s="583"/>
      <c r="AG431" s="583"/>
      <c r="AH431" s="583"/>
      <c r="AI431" s="634"/>
      <c r="AJ431" s="583"/>
      <c r="AK431" s="583"/>
      <c r="AL431" s="583"/>
      <c r="AM431" s="583"/>
      <c r="AN431" s="583"/>
      <c r="AO431" s="583"/>
      <c r="AP431" s="583"/>
      <c r="AR431" s="119"/>
      <c r="AS431" s="119"/>
    </row>
    <row r="432" spans="2:51" ht="18" customHeight="1" x14ac:dyDescent="0.4">
      <c r="B432" s="644"/>
      <c r="C432" s="723"/>
      <c r="D432" s="723"/>
      <c r="E432" s="723"/>
      <c r="F432" s="583"/>
      <c r="G432" s="583"/>
      <c r="H432" s="583"/>
      <c r="I432" s="583"/>
      <c r="J432" s="722"/>
      <c r="K432" s="722"/>
      <c r="L432" s="722"/>
      <c r="M432" s="722"/>
      <c r="N432" s="722"/>
      <c r="O432" s="722"/>
      <c r="P432" s="722"/>
      <c r="Q432" s="634"/>
      <c r="R432" s="634"/>
      <c r="S432" s="100"/>
      <c r="T432" s="101"/>
      <c r="U432" s="100"/>
      <c r="V432" s="634"/>
      <c r="W432" s="634"/>
      <c r="X432" s="722"/>
      <c r="Y432" s="722"/>
      <c r="Z432" s="722"/>
      <c r="AA432" s="722"/>
      <c r="AB432" s="722"/>
      <c r="AC432" s="722"/>
      <c r="AD432" s="722"/>
      <c r="AE432" s="583"/>
      <c r="AF432" s="583"/>
      <c r="AG432" s="583"/>
      <c r="AH432" s="583"/>
      <c r="AI432" s="583"/>
      <c r="AJ432" s="583"/>
      <c r="AK432" s="583"/>
      <c r="AL432" s="583"/>
      <c r="AM432" s="583"/>
      <c r="AN432" s="583"/>
      <c r="AO432" s="583"/>
      <c r="AP432" s="583"/>
      <c r="AR432" s="119"/>
      <c r="AS432" s="119"/>
      <c r="AU432" s="96" t="s">
        <v>505</v>
      </c>
    </row>
    <row r="433" spans="1:44" ht="15.75" customHeight="1" thickBot="1" x14ac:dyDescent="0.45">
      <c r="A433" s="102"/>
      <c r="B433" s="103"/>
      <c r="C433" s="104"/>
      <c r="D433" s="104"/>
      <c r="E433" s="104"/>
      <c r="F433" s="103"/>
      <c r="G433" s="103"/>
      <c r="H433" s="103"/>
      <c r="I433" s="103"/>
      <c r="J433" s="103"/>
      <c r="K433" s="105"/>
      <c r="L433" s="105"/>
      <c r="M433" s="106"/>
      <c r="N433" s="107"/>
      <c r="O433" s="106"/>
      <c r="P433" s="105"/>
      <c r="Q433" s="105"/>
      <c r="R433" s="103"/>
      <c r="S433" s="103"/>
      <c r="T433" s="103"/>
      <c r="U433" s="103"/>
      <c r="V433" s="103"/>
      <c r="W433" s="108"/>
      <c r="X433" s="108"/>
      <c r="Y433" s="108"/>
      <c r="Z433" s="108"/>
      <c r="AA433" s="108"/>
      <c r="AB433" s="108"/>
      <c r="AC433" s="102"/>
    </row>
    <row r="434" spans="1:44" ht="20.25" customHeight="1" x14ac:dyDescent="0.4">
      <c r="D434" s="714" t="s">
        <v>8</v>
      </c>
      <c r="E434" s="715"/>
      <c r="F434" s="715"/>
      <c r="G434" s="715"/>
      <c r="H434" s="715"/>
      <c r="I434" s="715"/>
      <c r="J434" s="715" t="s">
        <v>5</v>
      </c>
      <c r="K434" s="715"/>
      <c r="L434" s="715"/>
      <c r="M434" s="715"/>
      <c r="N434" s="715"/>
      <c r="O434" s="715"/>
      <c r="P434" s="715"/>
      <c r="Q434" s="715"/>
      <c r="R434" s="614" t="s">
        <v>9</v>
      </c>
      <c r="S434" s="614"/>
      <c r="T434" s="614"/>
      <c r="U434" s="614"/>
      <c r="V434" s="614"/>
      <c r="W434" s="614"/>
      <c r="X434" s="614"/>
      <c r="Y434" s="614"/>
      <c r="Z434" s="614"/>
      <c r="AA434" s="615" t="s">
        <v>10</v>
      </c>
      <c r="AB434" s="615"/>
      <c r="AC434" s="615"/>
      <c r="AD434" s="615" t="s">
        <v>11</v>
      </c>
      <c r="AE434" s="615"/>
      <c r="AF434" s="615"/>
      <c r="AG434" s="615"/>
      <c r="AH434" s="615"/>
      <c r="AI434" s="615"/>
      <c r="AJ434" s="615"/>
      <c r="AK434" s="615"/>
      <c r="AL434" s="615"/>
      <c r="AM434" s="643"/>
    </row>
    <row r="435" spans="1:44" ht="30" customHeight="1" x14ac:dyDescent="0.4">
      <c r="D435" s="718" t="s">
        <v>12</v>
      </c>
      <c r="E435" s="644"/>
      <c r="F435" s="644"/>
      <c r="G435" s="644"/>
      <c r="H435" s="644"/>
      <c r="I435" s="644"/>
      <c r="J435" s="644"/>
      <c r="K435" s="644"/>
      <c r="L435" s="644"/>
      <c r="M435" s="644"/>
      <c r="N435" s="644"/>
      <c r="O435" s="644"/>
      <c r="P435" s="644"/>
      <c r="Q435" s="644"/>
      <c r="R435" s="639"/>
      <c r="S435" s="639"/>
      <c r="T435" s="639"/>
      <c r="U435" s="639"/>
      <c r="V435" s="639"/>
      <c r="W435" s="639"/>
      <c r="X435" s="639"/>
      <c r="Y435" s="639"/>
      <c r="Z435" s="639"/>
      <c r="AA435" s="724"/>
      <c r="AB435" s="724"/>
      <c r="AC435" s="724"/>
      <c r="AD435" s="595"/>
      <c r="AE435" s="595"/>
      <c r="AF435" s="595"/>
      <c r="AG435" s="595"/>
      <c r="AH435" s="595"/>
      <c r="AI435" s="595"/>
      <c r="AJ435" s="595"/>
      <c r="AK435" s="595"/>
      <c r="AL435" s="595"/>
      <c r="AM435" s="596"/>
    </row>
    <row r="436" spans="1:44" ht="30" customHeight="1" x14ac:dyDescent="0.4">
      <c r="D436" s="718" t="s">
        <v>12</v>
      </c>
      <c r="E436" s="644"/>
      <c r="F436" s="644"/>
      <c r="G436" s="644"/>
      <c r="H436" s="644"/>
      <c r="I436" s="644"/>
      <c r="J436" s="644"/>
      <c r="K436" s="644"/>
      <c r="L436" s="644"/>
      <c r="M436" s="644"/>
      <c r="N436" s="644"/>
      <c r="O436" s="644"/>
      <c r="P436" s="644"/>
      <c r="Q436" s="644"/>
      <c r="R436" s="639"/>
      <c r="S436" s="639"/>
      <c r="T436" s="639"/>
      <c r="U436" s="639"/>
      <c r="V436" s="639"/>
      <c r="W436" s="639"/>
      <c r="X436" s="639"/>
      <c r="Y436" s="639"/>
      <c r="Z436" s="639"/>
      <c r="AA436" s="613"/>
      <c r="AB436" s="613"/>
      <c r="AC436" s="613"/>
      <c r="AD436" s="595"/>
      <c r="AE436" s="595"/>
      <c r="AF436" s="595"/>
      <c r="AG436" s="595"/>
      <c r="AH436" s="595"/>
      <c r="AI436" s="595"/>
      <c r="AJ436" s="595"/>
      <c r="AK436" s="595"/>
      <c r="AL436" s="595"/>
      <c r="AM436" s="596"/>
    </row>
    <row r="437" spans="1:44" ht="30" customHeight="1" thickBot="1" x14ac:dyDescent="0.45">
      <c r="D437" s="616" t="s">
        <v>12</v>
      </c>
      <c r="E437" s="617"/>
      <c r="F437" s="617"/>
      <c r="G437" s="617"/>
      <c r="H437" s="617"/>
      <c r="I437" s="617"/>
      <c r="J437" s="617"/>
      <c r="K437" s="617"/>
      <c r="L437" s="617"/>
      <c r="M437" s="617"/>
      <c r="N437" s="617"/>
      <c r="O437" s="617"/>
      <c r="P437" s="617"/>
      <c r="Q437" s="617"/>
      <c r="R437" s="716"/>
      <c r="S437" s="716"/>
      <c r="T437" s="716"/>
      <c r="U437" s="716"/>
      <c r="V437" s="716"/>
      <c r="W437" s="716"/>
      <c r="X437" s="716"/>
      <c r="Y437" s="716"/>
      <c r="Z437" s="716"/>
      <c r="AA437" s="717"/>
      <c r="AB437" s="717"/>
      <c r="AC437" s="717"/>
      <c r="AD437" s="641"/>
      <c r="AE437" s="641"/>
      <c r="AF437" s="641"/>
      <c r="AG437" s="641"/>
      <c r="AH437" s="641"/>
      <c r="AI437" s="641"/>
      <c r="AJ437" s="641"/>
      <c r="AK437" s="641"/>
      <c r="AL437" s="641"/>
      <c r="AM437" s="642"/>
    </row>
    <row r="438" spans="1:44" ht="26.25" customHeight="1" x14ac:dyDescent="0.4">
      <c r="A438" s="115"/>
      <c r="B438" s="640" t="str">
        <f>U12組合せ!$B$1</f>
        <v>ＪＦＡ　Ｕ-１２サッカーリーグ2021（in栃木） 宇都宮地区リーグ戦（前期）</v>
      </c>
      <c r="C438" s="640"/>
      <c r="D438" s="640"/>
      <c r="E438" s="640"/>
      <c r="F438" s="640"/>
      <c r="G438" s="640"/>
      <c r="H438" s="640"/>
      <c r="I438" s="640"/>
      <c r="J438" s="640"/>
      <c r="K438" s="640"/>
      <c r="L438" s="640"/>
      <c r="M438" s="640"/>
      <c r="N438" s="640"/>
      <c r="O438" s="640"/>
      <c r="P438" s="640"/>
      <c r="Q438" s="640"/>
      <c r="R438" s="640"/>
      <c r="S438" s="640"/>
      <c r="T438" s="640"/>
      <c r="U438" s="640"/>
      <c r="V438" s="640"/>
      <c r="W438" s="640"/>
      <c r="X438" s="640"/>
      <c r="Y438" s="640"/>
      <c r="Z438" s="640"/>
      <c r="AA438" s="640"/>
      <c r="AB438" s="640"/>
      <c r="AC438" s="612" t="str">
        <f>"【A・"&amp;(U12組合せ!$H$3)&amp;"】"</f>
        <v>【A・Ｃ ブロック】</v>
      </c>
      <c r="AD438" s="612"/>
      <c r="AE438" s="612"/>
      <c r="AF438" s="612"/>
      <c r="AG438" s="612"/>
      <c r="AH438" s="612"/>
      <c r="AI438" s="612"/>
      <c r="AJ438" s="612"/>
      <c r="AK438" s="612" t="str">
        <f>"第"&amp;(U12組合せ!$D$45)</f>
        <v>第５節</v>
      </c>
      <c r="AL438" s="612"/>
      <c r="AM438" s="612"/>
      <c r="AN438" s="612"/>
      <c r="AO438" s="612"/>
      <c r="AP438" s="597" t="s">
        <v>301</v>
      </c>
      <c r="AQ438" s="598"/>
    </row>
    <row r="439" spans="1:44" ht="26.25" customHeight="1" x14ac:dyDescent="0.4">
      <c r="A439" s="115"/>
      <c r="B439" s="640"/>
      <c r="C439" s="640"/>
      <c r="D439" s="640"/>
      <c r="E439" s="640"/>
      <c r="F439" s="640"/>
      <c r="G439" s="640"/>
      <c r="H439" s="640"/>
      <c r="I439" s="640"/>
      <c r="J439" s="640"/>
      <c r="K439" s="640"/>
      <c r="L439" s="640"/>
      <c r="M439" s="640"/>
      <c r="N439" s="640"/>
      <c r="O439" s="640"/>
      <c r="P439" s="640"/>
      <c r="Q439" s="640"/>
      <c r="R439" s="640"/>
      <c r="S439" s="640"/>
      <c r="T439" s="640"/>
      <c r="U439" s="640"/>
      <c r="V439" s="640"/>
      <c r="W439" s="640"/>
      <c r="X439" s="640"/>
      <c r="Y439" s="640"/>
      <c r="Z439" s="640"/>
      <c r="AA439" s="640"/>
      <c r="AB439" s="640"/>
      <c r="AC439" s="612"/>
      <c r="AD439" s="612"/>
      <c r="AE439" s="612"/>
      <c r="AF439" s="612"/>
      <c r="AG439" s="612"/>
      <c r="AH439" s="612"/>
      <c r="AI439" s="612"/>
      <c r="AJ439" s="612"/>
      <c r="AK439" s="612"/>
      <c r="AL439" s="612"/>
      <c r="AM439" s="612"/>
      <c r="AN439" s="612"/>
      <c r="AO439" s="612"/>
      <c r="AP439" s="598"/>
      <c r="AQ439" s="598"/>
    </row>
    <row r="440" spans="1:44" ht="27.75" customHeight="1" x14ac:dyDescent="0.4">
      <c r="C440" s="635" t="s">
        <v>1</v>
      </c>
      <c r="D440" s="635"/>
      <c r="E440" s="635"/>
      <c r="F440" s="635"/>
      <c r="G440" s="636" t="str">
        <f>U12対戦スケジュール!C117</f>
        <v>GP白沢 南AM</v>
      </c>
      <c r="H440" s="636"/>
      <c r="I440" s="636"/>
      <c r="J440" s="636"/>
      <c r="K440" s="636"/>
      <c r="L440" s="636"/>
      <c r="M440" s="636"/>
      <c r="N440" s="636"/>
      <c r="O440" s="636"/>
      <c r="P440" s="635" t="s">
        <v>0</v>
      </c>
      <c r="Q440" s="635"/>
      <c r="R440" s="635"/>
      <c r="S440" s="635"/>
      <c r="T440" s="636" t="str">
        <f>AG443</f>
        <v>FCアネーロ・U-12</v>
      </c>
      <c r="U440" s="636"/>
      <c r="V440" s="636"/>
      <c r="W440" s="636"/>
      <c r="X440" s="636"/>
      <c r="Y440" s="636"/>
      <c r="Z440" s="636"/>
      <c r="AA440" s="636"/>
      <c r="AB440" s="636"/>
      <c r="AC440" s="635" t="s">
        <v>2</v>
      </c>
      <c r="AD440" s="635"/>
      <c r="AE440" s="635"/>
      <c r="AF440" s="635"/>
      <c r="AG440" s="618">
        <f>U12組合せ!B51</f>
        <v>44388</v>
      </c>
      <c r="AH440" s="619"/>
      <c r="AI440" s="619"/>
      <c r="AJ440" s="619"/>
      <c r="AK440" s="619"/>
      <c r="AL440" s="619"/>
      <c r="AM440" s="620" t="str">
        <f>"（"&amp;TEXT(AG440,"aaa")&amp;"）"</f>
        <v>（日）</v>
      </c>
      <c r="AN440" s="620"/>
      <c r="AO440" s="621"/>
    </row>
    <row r="441" spans="1:44" ht="15" customHeight="1" x14ac:dyDescent="0.4">
      <c r="C441" s="102" t="str">
        <f>U12組合せ!E50</f>
        <v>A25710 C46</v>
      </c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95"/>
      <c r="X441" s="95"/>
      <c r="Y441" s="95"/>
      <c r="Z441" s="95"/>
      <c r="AA441" s="95"/>
      <c r="AB441" s="95"/>
      <c r="AC441" s="95"/>
    </row>
    <row r="442" spans="1:44" ht="29.25" customHeight="1" x14ac:dyDescent="0.4">
      <c r="C442" s="637" t="s">
        <v>484</v>
      </c>
      <c r="D442" s="637"/>
      <c r="E442" s="584" t="s">
        <v>473</v>
      </c>
      <c r="F442" s="584"/>
      <c r="G442" s="584"/>
      <c r="H442" s="584"/>
      <c r="I442" s="584"/>
      <c r="J442" s="584"/>
      <c r="K442" s="584"/>
      <c r="L442" s="584"/>
      <c r="M442" s="584"/>
      <c r="N442" s="584"/>
      <c r="O442" s="94"/>
      <c r="P442" s="94"/>
      <c r="Q442" s="636" t="s">
        <v>492</v>
      </c>
      <c r="R442" s="636"/>
      <c r="S442" s="709" t="s">
        <v>477</v>
      </c>
      <c r="T442" s="709"/>
      <c r="U442" s="709"/>
      <c r="V442" s="709"/>
      <c r="W442" s="709"/>
      <c r="X442" s="709"/>
      <c r="Y442" s="709"/>
      <c r="Z442" s="709"/>
      <c r="AA442" s="709"/>
      <c r="AB442" s="709"/>
      <c r="AC442" s="92"/>
      <c r="AD442" s="93"/>
      <c r="AE442" s="637" t="s">
        <v>500</v>
      </c>
      <c r="AF442" s="637"/>
      <c r="AG442" s="584" t="s">
        <v>481</v>
      </c>
      <c r="AH442" s="584"/>
      <c r="AI442" s="584"/>
      <c r="AJ442" s="584"/>
      <c r="AK442" s="584"/>
      <c r="AL442" s="584"/>
      <c r="AM442" s="584"/>
      <c r="AN442" s="584"/>
      <c r="AO442" s="584"/>
      <c r="AP442" s="584"/>
      <c r="AR442" s="96">
        <f>450/2</f>
        <v>225</v>
      </c>
    </row>
    <row r="443" spans="1:44" ht="29.25" customHeight="1" x14ac:dyDescent="0.4">
      <c r="C443" s="636" t="s">
        <v>486</v>
      </c>
      <c r="D443" s="636"/>
      <c r="E443" s="709" t="s">
        <v>474</v>
      </c>
      <c r="F443" s="709"/>
      <c r="G443" s="709"/>
      <c r="H443" s="709"/>
      <c r="I443" s="709"/>
      <c r="J443" s="709"/>
      <c r="K443" s="709"/>
      <c r="L443" s="709"/>
      <c r="M443" s="709"/>
      <c r="N443" s="709"/>
      <c r="O443" s="94"/>
      <c r="P443" s="94"/>
      <c r="Q443" s="637" t="s">
        <v>494</v>
      </c>
      <c r="R443" s="637"/>
      <c r="S443" s="584" t="s">
        <v>478</v>
      </c>
      <c r="T443" s="584"/>
      <c r="U443" s="584"/>
      <c r="V443" s="584"/>
      <c r="W443" s="584"/>
      <c r="X443" s="584"/>
      <c r="Y443" s="584"/>
      <c r="Z443" s="584"/>
      <c r="AA443" s="584"/>
      <c r="AB443" s="584"/>
      <c r="AC443" s="92"/>
      <c r="AD443" s="93"/>
      <c r="AE443" s="636" t="s">
        <v>502</v>
      </c>
      <c r="AF443" s="636"/>
      <c r="AG443" s="709" t="s">
        <v>482</v>
      </c>
      <c r="AH443" s="709"/>
      <c r="AI443" s="709"/>
      <c r="AJ443" s="709"/>
      <c r="AK443" s="709"/>
      <c r="AL443" s="709"/>
      <c r="AM443" s="709"/>
      <c r="AN443" s="709"/>
      <c r="AO443" s="709"/>
      <c r="AP443" s="709"/>
      <c r="AR443" s="96">
        <v>119</v>
      </c>
    </row>
    <row r="444" spans="1:44" ht="29.25" customHeight="1" x14ac:dyDescent="0.4">
      <c r="C444" s="710" t="s">
        <v>488</v>
      </c>
      <c r="D444" s="710"/>
      <c r="E444" s="638" t="s">
        <v>475</v>
      </c>
      <c r="F444" s="638"/>
      <c r="G444" s="638"/>
      <c r="H444" s="638"/>
      <c r="I444" s="638"/>
      <c r="J444" s="638"/>
      <c r="K444" s="638"/>
      <c r="L444" s="638"/>
      <c r="M444" s="638"/>
      <c r="N444" s="638"/>
      <c r="O444" s="94"/>
      <c r="P444" s="94"/>
      <c r="Q444" s="636" t="s">
        <v>496</v>
      </c>
      <c r="R444" s="636"/>
      <c r="S444" s="709" t="s">
        <v>479</v>
      </c>
      <c r="T444" s="709"/>
      <c r="U444" s="709"/>
      <c r="V444" s="709"/>
      <c r="W444" s="709"/>
      <c r="X444" s="709"/>
      <c r="Y444" s="709"/>
      <c r="Z444" s="709"/>
      <c r="AA444" s="709"/>
      <c r="AB444" s="709"/>
      <c r="AC444" s="92"/>
      <c r="AD444" s="93"/>
      <c r="AE444" s="636" t="s">
        <v>468</v>
      </c>
      <c r="AF444" s="636"/>
      <c r="AG444" s="709" t="s">
        <v>503</v>
      </c>
      <c r="AH444" s="709"/>
      <c r="AI444" s="709"/>
      <c r="AJ444" s="709"/>
      <c r="AK444" s="709"/>
      <c r="AL444" s="709"/>
      <c r="AM444" s="709"/>
      <c r="AN444" s="709"/>
      <c r="AO444" s="709"/>
      <c r="AP444" s="709"/>
      <c r="AR444" s="96">
        <f>AR442-AR443</f>
        <v>106</v>
      </c>
    </row>
    <row r="445" spans="1:44" ht="29.25" customHeight="1" x14ac:dyDescent="0.4">
      <c r="B445" s="102"/>
      <c r="C445" s="637" t="s">
        <v>490</v>
      </c>
      <c r="D445" s="637"/>
      <c r="E445" s="584" t="s">
        <v>476</v>
      </c>
      <c r="F445" s="584"/>
      <c r="G445" s="584"/>
      <c r="H445" s="584"/>
      <c r="I445" s="584"/>
      <c r="J445" s="584"/>
      <c r="K445" s="584"/>
      <c r="L445" s="584"/>
      <c r="M445" s="584"/>
      <c r="N445" s="584"/>
      <c r="O445" s="94"/>
      <c r="P445" s="94"/>
      <c r="Q445" s="710" t="s">
        <v>498</v>
      </c>
      <c r="R445" s="710"/>
      <c r="S445" s="638" t="s">
        <v>480</v>
      </c>
      <c r="T445" s="638"/>
      <c r="U445" s="638"/>
      <c r="V445" s="638"/>
      <c r="W445" s="638"/>
      <c r="X445" s="638"/>
      <c r="Y445" s="638"/>
      <c r="Z445" s="638"/>
      <c r="AA445" s="638"/>
      <c r="AB445" s="638"/>
      <c r="AC445" s="92"/>
      <c r="AD445" s="94"/>
      <c r="AE445" s="636" t="s">
        <v>472</v>
      </c>
      <c r="AF445" s="636"/>
      <c r="AG445" s="709" t="s">
        <v>504</v>
      </c>
      <c r="AH445" s="709"/>
      <c r="AI445" s="709"/>
      <c r="AJ445" s="709"/>
      <c r="AK445" s="709"/>
      <c r="AL445" s="709"/>
      <c r="AM445" s="709"/>
      <c r="AN445" s="709"/>
      <c r="AO445" s="709"/>
      <c r="AP445" s="709"/>
    </row>
    <row r="446" spans="1:44" ht="6" customHeight="1" x14ac:dyDescent="0.4">
      <c r="O446" s="102"/>
      <c r="P446" s="102"/>
      <c r="AC446" s="95"/>
    </row>
    <row r="447" spans="1:44" ht="6" customHeight="1" x14ac:dyDescent="0.4">
      <c r="C447" s="117"/>
      <c r="D447" s="118"/>
      <c r="E447" s="118"/>
      <c r="F447" s="118"/>
      <c r="G447" s="118"/>
      <c r="H447" s="118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18"/>
      <c r="U447" s="102"/>
      <c r="V447" s="118"/>
      <c r="W447" s="102"/>
      <c r="X447" s="118"/>
      <c r="Y447" s="102"/>
      <c r="Z447" s="118"/>
      <c r="AA447" s="102"/>
      <c r="AB447" s="118"/>
      <c r="AC447" s="118"/>
    </row>
    <row r="448" spans="1:44" ht="21" customHeight="1" x14ac:dyDescent="0.4">
      <c r="B448" s="118" t="str">
        <f ca="1">IF(B450="①","【監督会議 8：20～】","【監督会議 12：50～】")</f>
        <v>【監督会議 8：20～】</v>
      </c>
      <c r="I448" s="96" t="s">
        <v>330</v>
      </c>
    </row>
    <row r="449" spans="1:47" ht="20.25" customHeight="1" x14ac:dyDescent="0.4">
      <c r="B449" s="97"/>
      <c r="C449" s="711" t="s">
        <v>3</v>
      </c>
      <c r="D449" s="711"/>
      <c r="E449" s="711"/>
      <c r="F449" s="712" t="s">
        <v>4</v>
      </c>
      <c r="G449" s="712"/>
      <c r="H449" s="712"/>
      <c r="I449" s="712"/>
      <c r="J449" s="711" t="s">
        <v>5</v>
      </c>
      <c r="K449" s="713"/>
      <c r="L449" s="713"/>
      <c r="M449" s="713"/>
      <c r="N449" s="713"/>
      <c r="O449" s="713"/>
      <c r="P449" s="713"/>
      <c r="Q449" s="711" t="s">
        <v>32</v>
      </c>
      <c r="R449" s="711"/>
      <c r="S449" s="711"/>
      <c r="T449" s="711"/>
      <c r="U449" s="711"/>
      <c r="V449" s="711"/>
      <c r="W449" s="711"/>
      <c r="X449" s="711" t="s">
        <v>5</v>
      </c>
      <c r="Y449" s="713"/>
      <c r="Z449" s="713"/>
      <c r="AA449" s="713"/>
      <c r="AB449" s="713"/>
      <c r="AC449" s="713"/>
      <c r="AD449" s="713"/>
      <c r="AE449" s="712" t="s">
        <v>4</v>
      </c>
      <c r="AF449" s="712"/>
      <c r="AG449" s="712"/>
      <c r="AH449" s="712"/>
      <c r="AI449" s="711" t="s">
        <v>6</v>
      </c>
      <c r="AJ449" s="711"/>
      <c r="AK449" s="713"/>
      <c r="AL449" s="713"/>
      <c r="AM449" s="713"/>
      <c r="AN449" s="713"/>
      <c r="AO449" s="713"/>
      <c r="AP449" s="713"/>
      <c r="AU449" s="102"/>
    </row>
    <row r="450" spans="1:47" ht="20.100000000000001" customHeight="1" x14ac:dyDescent="0.4">
      <c r="B450" s="644" t="str">
        <f ca="1">DBCS(INDIRECT("U12対戦スケジュール!A"&amp;(ROW())/2-106))</f>
        <v>①</v>
      </c>
      <c r="C450" s="645">
        <f ca="1">INDIRECT("U12対戦スケジュール!B"&amp;(ROW())/2-106)</f>
        <v>0.375</v>
      </c>
      <c r="D450" s="646"/>
      <c r="E450" s="647"/>
      <c r="F450" s="583"/>
      <c r="G450" s="583"/>
      <c r="H450" s="583"/>
      <c r="I450" s="583"/>
      <c r="J450" s="636" t="str">
        <f ca="1">VLOOKUP(AR450,U12組合せ!B$10:E$19,3,TRUE)</f>
        <v>石井ＦＣ</v>
      </c>
      <c r="K450" s="637"/>
      <c r="L450" s="637"/>
      <c r="M450" s="637"/>
      <c r="N450" s="637"/>
      <c r="O450" s="637"/>
      <c r="P450" s="637"/>
      <c r="Q450" s="635" t="str">
        <f>IF(OR(S450="",S451=""),"",S450+S451)</f>
        <v/>
      </c>
      <c r="R450" s="635"/>
      <c r="S450" s="98"/>
      <c r="T450" s="99" t="s">
        <v>7</v>
      </c>
      <c r="U450" s="98"/>
      <c r="V450" s="635" t="str">
        <f>IF(OR(U450="",U451=""),"",U450+U451)</f>
        <v/>
      </c>
      <c r="W450" s="635"/>
      <c r="X450" s="636" t="str">
        <f ca="1">VLOOKUP(AS450,U12組合せ!B$10:E$19,3,TRUE)</f>
        <v>上河内ＪＳＣ</v>
      </c>
      <c r="Y450" s="637"/>
      <c r="Z450" s="637"/>
      <c r="AA450" s="637"/>
      <c r="AB450" s="637"/>
      <c r="AC450" s="637"/>
      <c r="AD450" s="637"/>
      <c r="AE450" s="583"/>
      <c r="AF450" s="583"/>
      <c r="AG450" s="583"/>
      <c r="AH450" s="583"/>
      <c r="AI450" s="634" t="str">
        <f ca="1">DBCS(INDIRECT("U12対戦スケジュール!F"&amp;(ROW())/2-106))</f>
        <v>Ａ８／Ｃ６／Ｃ４／Ａ８</v>
      </c>
      <c r="AJ450" s="583"/>
      <c r="AK450" s="583"/>
      <c r="AL450" s="583"/>
      <c r="AM450" s="583"/>
      <c r="AN450" s="583"/>
      <c r="AO450" s="583"/>
      <c r="AP450" s="583"/>
      <c r="AR450" s="119">
        <f ca="1">INDIRECT("U12対戦スケジュール!ｃ"&amp;(ROW())/2-106)</f>
        <v>2</v>
      </c>
      <c r="AS450" s="119">
        <f ca="1">INDIRECT("U12対戦スケジュール!E"&amp;(ROW())/2-106)</f>
        <v>7</v>
      </c>
      <c r="AU450" s="102"/>
    </row>
    <row r="451" spans="1:47" ht="20.100000000000001" customHeight="1" x14ac:dyDescent="0.4">
      <c r="B451" s="644"/>
      <c r="C451" s="648"/>
      <c r="D451" s="649"/>
      <c r="E451" s="650"/>
      <c r="F451" s="583"/>
      <c r="G451" s="583"/>
      <c r="H451" s="583"/>
      <c r="I451" s="583"/>
      <c r="J451" s="637"/>
      <c r="K451" s="637"/>
      <c r="L451" s="637"/>
      <c r="M451" s="637"/>
      <c r="N451" s="637"/>
      <c r="O451" s="637"/>
      <c r="P451" s="637"/>
      <c r="Q451" s="635"/>
      <c r="R451" s="635"/>
      <c r="S451" s="98"/>
      <c r="T451" s="99" t="s">
        <v>7</v>
      </c>
      <c r="U451" s="98"/>
      <c r="V451" s="635"/>
      <c r="W451" s="635"/>
      <c r="X451" s="637"/>
      <c r="Y451" s="637"/>
      <c r="Z451" s="637"/>
      <c r="AA451" s="637"/>
      <c r="AB451" s="637"/>
      <c r="AC451" s="637"/>
      <c r="AD451" s="637"/>
      <c r="AE451" s="583"/>
      <c r="AF451" s="583"/>
      <c r="AG451" s="583"/>
      <c r="AH451" s="583"/>
      <c r="AI451" s="583"/>
      <c r="AJ451" s="583"/>
      <c r="AK451" s="583"/>
      <c r="AL451" s="583"/>
      <c r="AM451" s="583"/>
      <c r="AN451" s="583"/>
      <c r="AO451" s="583"/>
      <c r="AP451" s="583"/>
      <c r="AR451" s="119"/>
      <c r="AS451" s="119"/>
      <c r="AU451" s="102"/>
    </row>
    <row r="452" spans="1:47" ht="20.100000000000001" customHeight="1" x14ac:dyDescent="0.4">
      <c r="B452" s="644" t="str">
        <f ca="1">DBCS(INDIRECT("U12対戦スケジュール!A"&amp;(ROW())/2-106))</f>
        <v>②</v>
      </c>
      <c r="C452" s="645">
        <f ca="1">INDIRECT("U12対戦スケジュール!B"&amp;(ROW())/2-106)</f>
        <v>0.41699999999999998</v>
      </c>
      <c r="D452" s="646"/>
      <c r="E452" s="647"/>
      <c r="F452" s="583"/>
      <c r="G452" s="583"/>
      <c r="H452" s="583"/>
      <c r="I452" s="583"/>
      <c r="J452" s="636" t="str">
        <f ca="1">VLOOKUP(AR452,U12組合せ!B$10:E$19,3,TRUE)</f>
        <v>FCアネーロ・U-12</v>
      </c>
      <c r="K452" s="637"/>
      <c r="L452" s="637"/>
      <c r="M452" s="637"/>
      <c r="N452" s="637"/>
      <c r="O452" s="637"/>
      <c r="P452" s="637"/>
      <c r="Q452" s="635" t="str">
        <f>IF(OR(S452="",S453=""),"",S452+S453)</f>
        <v/>
      </c>
      <c r="R452" s="635"/>
      <c r="S452" s="98"/>
      <c r="T452" s="99" t="s">
        <v>7</v>
      </c>
      <c r="U452" s="98"/>
      <c r="V452" s="635" t="str">
        <f>IF(OR(U452="",U453=""),"",U452+U453)</f>
        <v/>
      </c>
      <c r="W452" s="635"/>
      <c r="X452" s="636" t="str">
        <f ca="1">VLOOKUP(AS452,U12組合せ!B$10:E$19,3,TRUE)</f>
        <v>ブラッドレスＳＣ</v>
      </c>
      <c r="Y452" s="637"/>
      <c r="Z452" s="637"/>
      <c r="AA452" s="637"/>
      <c r="AB452" s="637"/>
      <c r="AC452" s="637"/>
      <c r="AD452" s="637"/>
      <c r="AE452" s="583"/>
      <c r="AF452" s="583"/>
      <c r="AG452" s="583"/>
      <c r="AH452" s="583"/>
      <c r="AI452" s="634" t="str">
        <f ca="1">DBCS(INDIRECT("U12対戦スケジュール!F"&amp;(ROW())/2-106))</f>
        <v>Ａ３／Ａ２／Ａ８／Ａ３</v>
      </c>
      <c r="AJ452" s="583"/>
      <c r="AK452" s="583"/>
      <c r="AL452" s="583"/>
      <c r="AM452" s="583"/>
      <c r="AN452" s="583"/>
      <c r="AO452" s="583"/>
      <c r="AP452" s="583"/>
      <c r="AR452" s="119">
        <f ca="1">INDIRECT("U12対戦スケジュール!ｃ"&amp;(ROW())/2-106)</f>
        <v>10</v>
      </c>
      <c r="AS452" s="119">
        <f ca="1">INDIRECT("U12対戦スケジュール!E"&amp;(ROW())/2-106)</f>
        <v>5</v>
      </c>
      <c r="AU452" s="102"/>
    </row>
    <row r="453" spans="1:47" ht="20.100000000000001" customHeight="1" x14ac:dyDescent="0.4">
      <c r="B453" s="644"/>
      <c r="C453" s="648"/>
      <c r="D453" s="649"/>
      <c r="E453" s="650"/>
      <c r="F453" s="583"/>
      <c r="G453" s="583"/>
      <c r="H453" s="583"/>
      <c r="I453" s="583"/>
      <c r="J453" s="637"/>
      <c r="K453" s="637"/>
      <c r="L453" s="637"/>
      <c r="M453" s="637"/>
      <c r="N453" s="637"/>
      <c r="O453" s="637"/>
      <c r="P453" s="637"/>
      <c r="Q453" s="635"/>
      <c r="R453" s="635"/>
      <c r="S453" s="98"/>
      <c r="T453" s="99" t="s">
        <v>7</v>
      </c>
      <c r="U453" s="98"/>
      <c r="V453" s="635"/>
      <c r="W453" s="635"/>
      <c r="X453" s="637"/>
      <c r="Y453" s="637"/>
      <c r="Z453" s="637"/>
      <c r="AA453" s="637"/>
      <c r="AB453" s="637"/>
      <c r="AC453" s="637"/>
      <c r="AD453" s="637"/>
      <c r="AE453" s="583"/>
      <c r="AF453" s="583"/>
      <c r="AG453" s="583"/>
      <c r="AH453" s="583"/>
      <c r="AI453" s="583"/>
      <c r="AJ453" s="583"/>
      <c r="AK453" s="583"/>
      <c r="AL453" s="583"/>
      <c r="AM453" s="583"/>
      <c r="AN453" s="583"/>
      <c r="AO453" s="583"/>
      <c r="AP453" s="583"/>
      <c r="AR453" s="119"/>
      <c r="AS453" s="119"/>
    </row>
    <row r="454" spans="1:47" ht="20.100000000000001" customHeight="1" x14ac:dyDescent="0.4">
      <c r="B454" s="644" t="str">
        <f ca="1">DBCS(INDIRECT("U12対戦スケジュール!A"&amp;(ROW())/2-106))</f>
        <v>③</v>
      </c>
      <c r="C454" s="645">
        <f ca="1">INDIRECT("U12対戦スケジュール!B"&amp;(ROW())/2-106)</f>
        <v>0.45899999999999996</v>
      </c>
      <c r="D454" s="646"/>
      <c r="E454" s="647"/>
      <c r="F454" s="583"/>
      <c r="G454" s="583"/>
      <c r="H454" s="583"/>
      <c r="I454" s="583"/>
      <c r="J454" s="636" t="str">
        <f>U12組合せ!H13</f>
        <v>ともぞうSC　U11</v>
      </c>
      <c r="K454" s="637"/>
      <c r="L454" s="637"/>
      <c r="M454" s="637"/>
      <c r="N454" s="637"/>
      <c r="O454" s="637"/>
      <c r="P454" s="637"/>
      <c r="Q454" s="635" t="str">
        <f>IF(OR(S454="",S455=""),"",S454+S455)</f>
        <v/>
      </c>
      <c r="R454" s="635"/>
      <c r="S454" s="98"/>
      <c r="T454" s="99" t="s">
        <v>7</v>
      </c>
      <c r="U454" s="98"/>
      <c r="V454" s="635" t="str">
        <f>IF(OR(U454="",U455=""),"",U454+U455)</f>
        <v/>
      </c>
      <c r="W454" s="635"/>
      <c r="X454" s="636" t="str">
        <f>U12組合せ!H15</f>
        <v>シャルムグランツSC</v>
      </c>
      <c r="Y454" s="637"/>
      <c r="Z454" s="637"/>
      <c r="AA454" s="637"/>
      <c r="AB454" s="637"/>
      <c r="AC454" s="637"/>
      <c r="AD454" s="637"/>
      <c r="AE454" s="583"/>
      <c r="AF454" s="583"/>
      <c r="AG454" s="583"/>
      <c r="AH454" s="583"/>
      <c r="AI454" s="634" t="str">
        <f ca="1">DBCS(INDIRECT("U12対戦スケジュール!F"&amp;(ROW())/2-106))</f>
        <v>Ｃ５／Ａ５／Ａ１０／Ｃ５</v>
      </c>
      <c r="AJ454" s="583"/>
      <c r="AK454" s="583"/>
      <c r="AL454" s="583"/>
      <c r="AM454" s="583"/>
      <c r="AN454" s="583"/>
      <c r="AO454" s="583"/>
      <c r="AP454" s="583"/>
      <c r="AR454" s="119" t="str">
        <f t="shared" ref="AR454" ca="1" si="2">INDIRECT("U12対戦スケジュール!ｃ"&amp;(ROW())/2-106)</f>
        <v>C4</v>
      </c>
      <c r="AS454" s="119" t="str">
        <f t="shared" ref="AS454" ca="1" si="3">INDIRECT("U12対戦スケジュール!E"&amp;(ROW())/2-106)</f>
        <v>C6</v>
      </c>
    </row>
    <row r="455" spans="1:47" ht="20.100000000000001" customHeight="1" x14ac:dyDescent="0.4">
      <c r="B455" s="644"/>
      <c r="C455" s="648"/>
      <c r="D455" s="649"/>
      <c r="E455" s="650"/>
      <c r="F455" s="583"/>
      <c r="G455" s="583"/>
      <c r="H455" s="583"/>
      <c r="I455" s="583"/>
      <c r="J455" s="637"/>
      <c r="K455" s="637"/>
      <c r="L455" s="637"/>
      <c r="M455" s="637"/>
      <c r="N455" s="637"/>
      <c r="O455" s="637"/>
      <c r="P455" s="637"/>
      <c r="Q455" s="635"/>
      <c r="R455" s="635"/>
      <c r="S455" s="98"/>
      <c r="T455" s="99" t="s">
        <v>7</v>
      </c>
      <c r="U455" s="98"/>
      <c r="V455" s="635"/>
      <c r="W455" s="635"/>
      <c r="X455" s="637"/>
      <c r="Y455" s="637"/>
      <c r="Z455" s="637"/>
      <c r="AA455" s="637"/>
      <c r="AB455" s="637"/>
      <c r="AC455" s="637"/>
      <c r="AD455" s="637"/>
      <c r="AE455" s="583"/>
      <c r="AF455" s="583"/>
      <c r="AG455" s="583"/>
      <c r="AH455" s="583"/>
      <c r="AI455" s="583"/>
      <c r="AJ455" s="583"/>
      <c r="AK455" s="583"/>
      <c r="AL455" s="583"/>
      <c r="AM455" s="583"/>
      <c r="AN455" s="583"/>
      <c r="AO455" s="583"/>
      <c r="AP455" s="583"/>
      <c r="AR455" s="119"/>
      <c r="AS455" s="119"/>
    </row>
    <row r="456" spans="1:47" ht="20.100000000000001" customHeight="1" x14ac:dyDescent="0.4">
      <c r="B456" s="644"/>
      <c r="C456" s="645"/>
      <c r="D456" s="646"/>
      <c r="E456" s="647"/>
      <c r="F456" s="704"/>
      <c r="G456" s="704"/>
      <c r="H456" s="704"/>
      <c r="I456" s="704"/>
      <c r="J456" s="701"/>
      <c r="K456" s="702"/>
      <c r="L456" s="702"/>
      <c r="M456" s="702"/>
      <c r="N456" s="702"/>
      <c r="O456" s="702"/>
      <c r="P456" s="702"/>
      <c r="Q456" s="705"/>
      <c r="R456" s="705"/>
      <c r="S456" s="109"/>
      <c r="T456" s="110"/>
      <c r="U456" s="109"/>
      <c r="V456" s="705"/>
      <c r="W456" s="705"/>
      <c r="X456" s="701"/>
      <c r="Y456" s="702"/>
      <c r="Z456" s="702"/>
      <c r="AA456" s="702"/>
      <c r="AB456" s="702"/>
      <c r="AC456" s="702"/>
      <c r="AD456" s="702"/>
      <c r="AE456" s="704"/>
      <c r="AF456" s="704"/>
      <c r="AG456" s="704"/>
      <c r="AH456" s="704"/>
      <c r="AI456" s="706"/>
      <c r="AJ456" s="707"/>
      <c r="AK456" s="707"/>
      <c r="AL456" s="707"/>
      <c r="AM456" s="707"/>
      <c r="AN456" s="707"/>
      <c r="AO456" s="707"/>
      <c r="AP456" s="707"/>
      <c r="AR456" s="119"/>
      <c r="AS456" s="119"/>
    </row>
    <row r="457" spans="1:47" ht="20.100000000000001" customHeight="1" x14ac:dyDescent="0.4">
      <c r="B457" s="644"/>
      <c r="C457" s="648"/>
      <c r="D457" s="649"/>
      <c r="E457" s="650"/>
      <c r="F457" s="583"/>
      <c r="G457" s="583"/>
      <c r="H457" s="583"/>
      <c r="I457" s="583"/>
      <c r="J457" s="703"/>
      <c r="K457" s="703"/>
      <c r="L457" s="703"/>
      <c r="M457" s="703"/>
      <c r="N457" s="703"/>
      <c r="O457" s="703"/>
      <c r="P457" s="703"/>
      <c r="Q457" s="634"/>
      <c r="R457" s="634"/>
      <c r="S457" s="100"/>
      <c r="T457" s="101"/>
      <c r="U457" s="100"/>
      <c r="V457" s="634"/>
      <c r="W457" s="634"/>
      <c r="X457" s="703"/>
      <c r="Y457" s="703"/>
      <c r="Z457" s="703"/>
      <c r="AA457" s="703"/>
      <c r="AB457" s="703"/>
      <c r="AC457" s="703"/>
      <c r="AD457" s="703"/>
      <c r="AE457" s="583"/>
      <c r="AF457" s="583"/>
      <c r="AG457" s="583"/>
      <c r="AH457" s="583"/>
      <c r="AI457" s="708"/>
      <c r="AJ457" s="708"/>
      <c r="AK457" s="708"/>
      <c r="AL457" s="708"/>
      <c r="AM457" s="708"/>
      <c r="AN457" s="708"/>
      <c r="AO457" s="708"/>
      <c r="AP457" s="708"/>
      <c r="AR457" s="119"/>
      <c r="AS457" s="119"/>
    </row>
    <row r="458" spans="1:47" ht="20.100000000000001" customHeight="1" x14ac:dyDescent="0.4">
      <c r="B458" s="585"/>
      <c r="C458" s="587"/>
      <c r="D458" s="588"/>
      <c r="E458" s="589"/>
      <c r="F458" s="622"/>
      <c r="G458" s="623"/>
      <c r="H458" s="623"/>
      <c r="I458" s="624"/>
      <c r="J458" s="689"/>
      <c r="K458" s="690"/>
      <c r="L458" s="690"/>
      <c r="M458" s="690"/>
      <c r="N458" s="690"/>
      <c r="O458" s="690"/>
      <c r="P458" s="691"/>
      <c r="Q458" s="628"/>
      <c r="R458" s="630"/>
      <c r="S458" s="100"/>
      <c r="T458" s="101"/>
      <c r="U458" s="100"/>
      <c r="V458" s="628"/>
      <c r="W458" s="630"/>
      <c r="X458" s="695"/>
      <c r="Y458" s="696"/>
      <c r="Z458" s="696"/>
      <c r="AA458" s="696"/>
      <c r="AB458" s="696"/>
      <c r="AC458" s="696"/>
      <c r="AD458" s="697"/>
      <c r="AE458" s="622"/>
      <c r="AF458" s="623"/>
      <c r="AG458" s="623"/>
      <c r="AH458" s="624"/>
      <c r="AI458" s="628"/>
      <c r="AJ458" s="629"/>
      <c r="AK458" s="629"/>
      <c r="AL458" s="629"/>
      <c r="AM458" s="629"/>
      <c r="AN458" s="629"/>
      <c r="AO458" s="629"/>
      <c r="AP458" s="630"/>
    </row>
    <row r="459" spans="1:47" ht="20.100000000000001" customHeight="1" x14ac:dyDescent="0.4">
      <c r="B459" s="586"/>
      <c r="C459" s="590"/>
      <c r="D459" s="591"/>
      <c r="E459" s="592"/>
      <c r="F459" s="625"/>
      <c r="G459" s="626"/>
      <c r="H459" s="626"/>
      <c r="I459" s="627"/>
      <c r="J459" s="692"/>
      <c r="K459" s="693"/>
      <c r="L459" s="693"/>
      <c r="M459" s="693"/>
      <c r="N459" s="693"/>
      <c r="O459" s="693"/>
      <c r="P459" s="694"/>
      <c r="Q459" s="631"/>
      <c r="R459" s="633"/>
      <c r="S459" s="100"/>
      <c r="T459" s="101"/>
      <c r="U459" s="100"/>
      <c r="V459" s="631"/>
      <c r="W459" s="633"/>
      <c r="X459" s="698"/>
      <c r="Y459" s="699"/>
      <c r="Z459" s="699"/>
      <c r="AA459" s="699"/>
      <c r="AB459" s="699"/>
      <c r="AC459" s="699"/>
      <c r="AD459" s="700"/>
      <c r="AE459" s="625"/>
      <c r="AF459" s="626"/>
      <c r="AG459" s="626"/>
      <c r="AH459" s="627"/>
      <c r="AI459" s="631"/>
      <c r="AJ459" s="632"/>
      <c r="AK459" s="632"/>
      <c r="AL459" s="632"/>
      <c r="AM459" s="632"/>
      <c r="AN459" s="632"/>
      <c r="AO459" s="632"/>
      <c r="AP459" s="633"/>
    </row>
    <row r="460" spans="1:47" ht="20.100000000000001" customHeight="1" x14ac:dyDescent="0.4">
      <c r="B460" s="585"/>
      <c r="C460" s="587"/>
      <c r="D460" s="588"/>
      <c r="E460" s="589"/>
      <c r="F460" s="622"/>
      <c r="G460" s="623"/>
      <c r="H460" s="623"/>
      <c r="I460" s="624"/>
      <c r="J460" s="689"/>
      <c r="K460" s="690"/>
      <c r="L460" s="690"/>
      <c r="M460" s="690"/>
      <c r="N460" s="690"/>
      <c r="O460" s="690"/>
      <c r="P460" s="691"/>
      <c r="Q460" s="628"/>
      <c r="R460" s="630"/>
      <c r="S460" s="100"/>
      <c r="T460" s="101"/>
      <c r="U460" s="100"/>
      <c r="V460" s="628"/>
      <c r="W460" s="630"/>
      <c r="X460" s="695"/>
      <c r="Y460" s="696"/>
      <c r="Z460" s="696"/>
      <c r="AA460" s="696"/>
      <c r="AB460" s="696"/>
      <c r="AC460" s="696"/>
      <c r="AD460" s="697"/>
      <c r="AE460" s="622"/>
      <c r="AF460" s="623"/>
      <c r="AG460" s="623"/>
      <c r="AH460" s="624"/>
      <c r="AI460" s="628"/>
      <c r="AJ460" s="629"/>
      <c r="AK460" s="629"/>
      <c r="AL460" s="629"/>
      <c r="AM460" s="629"/>
      <c r="AN460" s="629"/>
      <c r="AO460" s="629"/>
      <c r="AP460" s="630"/>
    </row>
    <row r="461" spans="1:47" ht="20.100000000000001" customHeight="1" x14ac:dyDescent="0.4">
      <c r="B461" s="586"/>
      <c r="C461" s="590"/>
      <c r="D461" s="591"/>
      <c r="E461" s="592"/>
      <c r="F461" s="625"/>
      <c r="G461" s="626"/>
      <c r="H461" s="626"/>
      <c r="I461" s="627"/>
      <c r="J461" s="692"/>
      <c r="K461" s="693"/>
      <c r="L461" s="693"/>
      <c r="M461" s="693"/>
      <c r="N461" s="693"/>
      <c r="O461" s="693"/>
      <c r="P461" s="694"/>
      <c r="Q461" s="631"/>
      <c r="R461" s="633"/>
      <c r="S461" s="100"/>
      <c r="T461" s="101"/>
      <c r="U461" s="100"/>
      <c r="V461" s="631"/>
      <c r="W461" s="633"/>
      <c r="X461" s="698"/>
      <c r="Y461" s="699"/>
      <c r="Z461" s="699"/>
      <c r="AA461" s="699"/>
      <c r="AB461" s="699"/>
      <c r="AC461" s="699"/>
      <c r="AD461" s="700"/>
      <c r="AE461" s="625"/>
      <c r="AF461" s="626"/>
      <c r="AG461" s="626"/>
      <c r="AH461" s="627"/>
      <c r="AI461" s="631"/>
      <c r="AJ461" s="632"/>
      <c r="AK461" s="632"/>
      <c r="AL461" s="632"/>
      <c r="AM461" s="632"/>
      <c r="AN461" s="632"/>
      <c r="AO461" s="632"/>
      <c r="AP461" s="633"/>
    </row>
    <row r="462" spans="1:47" ht="20.100000000000001" customHeight="1" x14ac:dyDescent="0.4">
      <c r="B462" s="585"/>
      <c r="C462" s="587"/>
      <c r="D462" s="588"/>
      <c r="E462" s="589"/>
      <c r="F462" s="622"/>
      <c r="G462" s="623"/>
      <c r="H462" s="623"/>
      <c r="I462" s="624"/>
      <c r="J462" s="689"/>
      <c r="K462" s="690"/>
      <c r="L462" s="690"/>
      <c r="M462" s="690"/>
      <c r="N462" s="690"/>
      <c r="O462" s="690"/>
      <c r="P462" s="691"/>
      <c r="Q462" s="628"/>
      <c r="R462" s="630"/>
      <c r="S462" s="100"/>
      <c r="T462" s="101"/>
      <c r="U462" s="100"/>
      <c r="V462" s="628"/>
      <c r="W462" s="630"/>
      <c r="X462" s="695"/>
      <c r="Y462" s="696"/>
      <c r="Z462" s="696"/>
      <c r="AA462" s="696"/>
      <c r="AB462" s="696"/>
      <c r="AC462" s="696"/>
      <c r="AD462" s="697"/>
      <c r="AE462" s="622"/>
      <c r="AF462" s="623"/>
      <c r="AG462" s="623"/>
      <c r="AH462" s="624"/>
      <c r="AI462" s="628"/>
      <c r="AJ462" s="629"/>
      <c r="AK462" s="629"/>
      <c r="AL462" s="629"/>
      <c r="AM462" s="629"/>
      <c r="AN462" s="629"/>
      <c r="AO462" s="629"/>
      <c r="AP462" s="630"/>
    </row>
    <row r="463" spans="1:47" ht="20.100000000000001" customHeight="1" x14ac:dyDescent="0.4">
      <c r="B463" s="586"/>
      <c r="C463" s="590"/>
      <c r="D463" s="591"/>
      <c r="E463" s="592"/>
      <c r="F463" s="625"/>
      <c r="G463" s="626"/>
      <c r="H463" s="626"/>
      <c r="I463" s="627"/>
      <c r="J463" s="692"/>
      <c r="K463" s="693"/>
      <c r="L463" s="693"/>
      <c r="M463" s="693"/>
      <c r="N463" s="693"/>
      <c r="O463" s="693"/>
      <c r="P463" s="694"/>
      <c r="Q463" s="631"/>
      <c r="R463" s="633"/>
      <c r="S463" s="100"/>
      <c r="T463" s="101"/>
      <c r="U463" s="100"/>
      <c r="V463" s="631"/>
      <c r="W463" s="633"/>
      <c r="X463" s="698"/>
      <c r="Y463" s="699"/>
      <c r="Z463" s="699"/>
      <c r="AA463" s="699"/>
      <c r="AB463" s="699"/>
      <c r="AC463" s="699"/>
      <c r="AD463" s="700"/>
      <c r="AE463" s="625"/>
      <c r="AF463" s="626"/>
      <c r="AG463" s="626"/>
      <c r="AH463" s="627"/>
      <c r="AI463" s="631"/>
      <c r="AJ463" s="632"/>
      <c r="AK463" s="632"/>
      <c r="AL463" s="632"/>
      <c r="AM463" s="632"/>
      <c r="AN463" s="632"/>
      <c r="AO463" s="632"/>
      <c r="AP463" s="633"/>
    </row>
    <row r="464" spans="1:47" ht="15.75" customHeight="1" thickBot="1" x14ac:dyDescent="0.45">
      <c r="A464" s="102"/>
      <c r="B464" s="103"/>
      <c r="C464" s="104"/>
      <c r="D464" s="104"/>
      <c r="E464" s="104"/>
      <c r="F464" s="103"/>
      <c r="G464" s="103"/>
      <c r="H464" s="103"/>
      <c r="I464" s="103"/>
      <c r="J464" s="103"/>
      <c r="K464" s="105"/>
      <c r="L464" s="105"/>
      <c r="M464" s="106"/>
      <c r="N464" s="107"/>
      <c r="O464" s="106"/>
      <c r="P464" s="105"/>
      <c r="Q464" s="105"/>
      <c r="R464" s="103"/>
      <c r="S464" s="103"/>
      <c r="T464" s="103"/>
      <c r="U464" s="103"/>
      <c r="V464" s="103"/>
      <c r="W464" s="108"/>
      <c r="X464" s="108"/>
      <c r="Y464" s="108"/>
      <c r="Z464" s="108"/>
      <c r="AA464" s="108"/>
      <c r="AB464" s="108"/>
      <c r="AC464" s="102"/>
    </row>
    <row r="465" spans="4:39" ht="20.25" customHeight="1" thickBot="1" x14ac:dyDescent="0.45">
      <c r="D465" s="664" t="s">
        <v>8</v>
      </c>
      <c r="E465" s="665"/>
      <c r="F465" s="665"/>
      <c r="G465" s="665"/>
      <c r="H465" s="665"/>
      <c r="I465" s="666"/>
      <c r="J465" s="667" t="s">
        <v>5</v>
      </c>
      <c r="K465" s="665"/>
      <c r="L465" s="665"/>
      <c r="M465" s="665"/>
      <c r="N465" s="665"/>
      <c r="O465" s="665"/>
      <c r="P465" s="665"/>
      <c r="Q465" s="666"/>
      <c r="R465" s="668" t="s">
        <v>9</v>
      </c>
      <c r="S465" s="669"/>
      <c r="T465" s="669"/>
      <c r="U465" s="669"/>
      <c r="V465" s="669"/>
      <c r="W465" s="669"/>
      <c r="X465" s="669"/>
      <c r="Y465" s="669"/>
      <c r="Z465" s="670"/>
      <c r="AA465" s="609" t="s">
        <v>10</v>
      </c>
      <c r="AB465" s="610"/>
      <c r="AC465" s="671"/>
      <c r="AD465" s="609" t="s">
        <v>11</v>
      </c>
      <c r="AE465" s="610"/>
      <c r="AF465" s="610"/>
      <c r="AG465" s="610"/>
      <c r="AH465" s="610"/>
      <c r="AI465" s="610"/>
      <c r="AJ465" s="610"/>
      <c r="AK465" s="610"/>
      <c r="AL465" s="610"/>
      <c r="AM465" s="611"/>
    </row>
    <row r="466" spans="4:39" ht="30" customHeight="1" x14ac:dyDescent="0.4">
      <c r="D466" s="651" t="s">
        <v>298</v>
      </c>
      <c r="E466" s="652"/>
      <c r="F466" s="652"/>
      <c r="G466" s="652"/>
      <c r="H466" s="652"/>
      <c r="I466" s="653"/>
      <c r="J466" s="654"/>
      <c r="K466" s="652"/>
      <c r="L466" s="652"/>
      <c r="M466" s="652"/>
      <c r="N466" s="652"/>
      <c r="O466" s="652"/>
      <c r="P466" s="652"/>
      <c r="Q466" s="653"/>
      <c r="R466" s="655"/>
      <c r="S466" s="656"/>
      <c r="T466" s="656"/>
      <c r="U466" s="656"/>
      <c r="V466" s="656"/>
      <c r="W466" s="656"/>
      <c r="X466" s="656"/>
      <c r="Y466" s="656"/>
      <c r="Z466" s="657"/>
      <c r="AA466" s="658"/>
      <c r="AB466" s="659"/>
      <c r="AC466" s="660"/>
      <c r="AD466" s="661"/>
      <c r="AE466" s="662"/>
      <c r="AF466" s="662"/>
      <c r="AG466" s="662"/>
      <c r="AH466" s="662"/>
      <c r="AI466" s="662"/>
      <c r="AJ466" s="662"/>
      <c r="AK466" s="662"/>
      <c r="AL466" s="662"/>
      <c r="AM466" s="663"/>
    </row>
    <row r="467" spans="4:39" ht="30" customHeight="1" x14ac:dyDescent="0.4">
      <c r="D467" s="688" t="s">
        <v>12</v>
      </c>
      <c r="E467" s="604"/>
      <c r="F467" s="604"/>
      <c r="G467" s="604"/>
      <c r="H467" s="604"/>
      <c r="I467" s="605"/>
      <c r="J467" s="603"/>
      <c r="K467" s="604"/>
      <c r="L467" s="604"/>
      <c r="M467" s="604"/>
      <c r="N467" s="604"/>
      <c r="O467" s="604"/>
      <c r="P467" s="604"/>
      <c r="Q467" s="605"/>
      <c r="R467" s="606"/>
      <c r="S467" s="607"/>
      <c r="T467" s="607"/>
      <c r="U467" s="607"/>
      <c r="V467" s="607"/>
      <c r="W467" s="607"/>
      <c r="X467" s="607"/>
      <c r="Y467" s="607"/>
      <c r="Z467" s="608"/>
      <c r="AA467" s="606"/>
      <c r="AB467" s="607"/>
      <c r="AC467" s="608"/>
      <c r="AD467" s="672"/>
      <c r="AE467" s="673"/>
      <c r="AF467" s="673"/>
      <c r="AG467" s="673"/>
      <c r="AH467" s="673"/>
      <c r="AI467" s="673"/>
      <c r="AJ467" s="673"/>
      <c r="AK467" s="673"/>
      <c r="AL467" s="673"/>
      <c r="AM467" s="674"/>
    </row>
    <row r="468" spans="4:39" ht="30" customHeight="1" thickBot="1" x14ac:dyDescent="0.45">
      <c r="D468" s="675" t="s">
        <v>12</v>
      </c>
      <c r="E468" s="676"/>
      <c r="F468" s="676"/>
      <c r="G468" s="676"/>
      <c r="H468" s="676"/>
      <c r="I468" s="677"/>
      <c r="J468" s="678"/>
      <c r="K468" s="676"/>
      <c r="L468" s="676"/>
      <c r="M468" s="676"/>
      <c r="N468" s="676"/>
      <c r="O468" s="676"/>
      <c r="P468" s="676"/>
      <c r="Q468" s="677"/>
      <c r="R468" s="679"/>
      <c r="S468" s="680"/>
      <c r="T468" s="680"/>
      <c r="U468" s="680"/>
      <c r="V468" s="680"/>
      <c r="W468" s="680"/>
      <c r="X468" s="680"/>
      <c r="Y468" s="680"/>
      <c r="Z468" s="681"/>
      <c r="AA468" s="682"/>
      <c r="AB468" s="683"/>
      <c r="AC468" s="684"/>
      <c r="AD468" s="685"/>
      <c r="AE468" s="686"/>
      <c r="AF468" s="686"/>
      <c r="AG468" s="686"/>
      <c r="AH468" s="686"/>
      <c r="AI468" s="686"/>
      <c r="AJ468" s="686"/>
      <c r="AK468" s="686"/>
      <c r="AL468" s="686"/>
      <c r="AM468" s="687"/>
    </row>
  </sheetData>
  <mergeCells count="1849">
    <mergeCell ref="AE351:AF351"/>
    <mergeCell ref="AG351:AP351"/>
    <mergeCell ref="AE352:AF352"/>
    <mergeCell ref="AG352:AP352"/>
    <mergeCell ref="AE353:AF353"/>
    <mergeCell ref="AG353:AP353"/>
    <mergeCell ref="AE256:AF256"/>
    <mergeCell ref="AG256:AP256"/>
    <mergeCell ref="AE257:AF257"/>
    <mergeCell ref="AG257:AP257"/>
    <mergeCell ref="AE258:AF258"/>
    <mergeCell ref="AG258:AP258"/>
    <mergeCell ref="AE259:AF259"/>
    <mergeCell ref="AG259:AP259"/>
    <mergeCell ref="AE260:AF260"/>
    <mergeCell ref="AG260:AP260"/>
    <mergeCell ref="AE261:AF261"/>
    <mergeCell ref="AG261:AP261"/>
    <mergeCell ref="AE320:AF320"/>
    <mergeCell ref="AG320:AP320"/>
    <mergeCell ref="AE321:AF321"/>
    <mergeCell ref="AG321:AP321"/>
    <mergeCell ref="AE322:AF322"/>
    <mergeCell ref="AG322:AP322"/>
    <mergeCell ref="AD282:AM282"/>
    <mergeCell ref="X264:AD265"/>
    <mergeCell ref="AE264:AH265"/>
    <mergeCell ref="AI264:AP265"/>
    <mergeCell ref="R313:Z313"/>
    <mergeCell ref="AA313:AC313"/>
    <mergeCell ref="AD313:AM313"/>
    <mergeCell ref="V328:W329"/>
    <mergeCell ref="C57:E58"/>
    <mergeCell ref="C78:E79"/>
    <mergeCell ref="F13:I14"/>
    <mergeCell ref="C25:E26"/>
    <mergeCell ref="F25:I26"/>
    <mergeCell ref="F21:I22"/>
    <mergeCell ref="D63:I63"/>
    <mergeCell ref="J63:Q63"/>
    <mergeCell ref="J21:P22"/>
    <mergeCell ref="Q55:R56"/>
    <mergeCell ref="F55:I56"/>
    <mergeCell ref="J55:P56"/>
    <mergeCell ref="B13:B14"/>
    <mergeCell ref="Q21:R22"/>
    <mergeCell ref="V21:W22"/>
    <mergeCell ref="J25:P26"/>
    <mergeCell ref="Q25:R26"/>
    <mergeCell ref="V25:W26"/>
    <mergeCell ref="F23:I24"/>
    <mergeCell ref="Q23:R24"/>
    <mergeCell ref="V23:W24"/>
    <mergeCell ref="C13:E14"/>
    <mergeCell ref="B15:B16"/>
    <mergeCell ref="B17:B18"/>
    <mergeCell ref="C15:E16"/>
    <mergeCell ref="B53:B54"/>
    <mergeCell ref="B55:B56"/>
    <mergeCell ref="C49:E50"/>
    <mergeCell ref="T35:AB35"/>
    <mergeCell ref="J13:P14"/>
    <mergeCell ref="X13:AD14"/>
    <mergeCell ref="Q13:R14"/>
    <mergeCell ref="Q49:R50"/>
    <mergeCell ref="V53:W54"/>
    <mergeCell ref="B88:B89"/>
    <mergeCell ref="C86:E87"/>
    <mergeCell ref="F86:I87"/>
    <mergeCell ref="B78:B79"/>
    <mergeCell ref="B80:B81"/>
    <mergeCell ref="C19:E20"/>
    <mergeCell ref="B82:B83"/>
    <mergeCell ref="B84:B85"/>
    <mergeCell ref="B86:B87"/>
    <mergeCell ref="F75:I75"/>
    <mergeCell ref="C66:F66"/>
    <mergeCell ref="G66:O66"/>
    <mergeCell ref="B57:B58"/>
    <mergeCell ref="B76:B77"/>
    <mergeCell ref="B49:B50"/>
    <mergeCell ref="B51:B52"/>
    <mergeCell ref="C53:E54"/>
    <mergeCell ref="F53:I54"/>
    <mergeCell ref="C55:E56"/>
    <mergeCell ref="B19:B20"/>
    <mergeCell ref="B21:B22"/>
    <mergeCell ref="B23:B24"/>
    <mergeCell ref="B25:B26"/>
    <mergeCell ref="C75:E75"/>
    <mergeCell ref="C44:E44"/>
    <mergeCell ref="E70:N70"/>
    <mergeCell ref="B45:B46"/>
    <mergeCell ref="B47:B48"/>
    <mergeCell ref="C69:D69"/>
    <mergeCell ref="C68:D68"/>
    <mergeCell ref="X45:AD46"/>
    <mergeCell ref="AI47:AP48"/>
    <mergeCell ref="AE19:AH20"/>
    <mergeCell ref="AE17:AH18"/>
    <mergeCell ref="F19:I20"/>
    <mergeCell ref="J19:P20"/>
    <mergeCell ref="J15:P16"/>
    <mergeCell ref="X15:AD16"/>
    <mergeCell ref="Q19:R20"/>
    <mergeCell ref="X21:AD22"/>
    <mergeCell ref="J23:P24"/>
    <mergeCell ref="X23:AD24"/>
    <mergeCell ref="Q51:R52"/>
    <mergeCell ref="J51:P52"/>
    <mergeCell ref="AI76:AP77"/>
    <mergeCell ref="AG70:AP70"/>
    <mergeCell ref="Q53:R54"/>
    <mergeCell ref="J53:P54"/>
    <mergeCell ref="AE55:AH56"/>
    <mergeCell ref="S68:AB68"/>
    <mergeCell ref="AE70:AF70"/>
    <mergeCell ref="AE75:AH75"/>
    <mergeCell ref="AD63:AM63"/>
    <mergeCell ref="AM66:AO66"/>
    <mergeCell ref="AE68:AF68"/>
    <mergeCell ref="AG68:AP68"/>
    <mergeCell ref="AE69:AF69"/>
    <mergeCell ref="AG69:AP69"/>
    <mergeCell ref="AE44:AH44"/>
    <mergeCell ref="V45:W46"/>
    <mergeCell ref="AE47:AH48"/>
    <mergeCell ref="F49:I50"/>
    <mergeCell ref="F76:I77"/>
    <mergeCell ref="AI86:AP87"/>
    <mergeCell ref="V78:W79"/>
    <mergeCell ref="C80:E81"/>
    <mergeCell ref="AE80:AH81"/>
    <mergeCell ref="Q78:R79"/>
    <mergeCell ref="AC66:AF66"/>
    <mergeCell ref="AG66:AL66"/>
    <mergeCell ref="AD60:AM60"/>
    <mergeCell ref="AI44:AP44"/>
    <mergeCell ref="F44:I44"/>
    <mergeCell ref="Q75:W75"/>
    <mergeCell ref="E69:N69"/>
    <mergeCell ref="Q70:R70"/>
    <mergeCell ref="T66:AB66"/>
    <mergeCell ref="R63:Z63"/>
    <mergeCell ref="AA63:AC63"/>
    <mergeCell ref="P66:S66"/>
    <mergeCell ref="J57:P58"/>
    <mergeCell ref="Q45:R46"/>
    <mergeCell ref="F51:I52"/>
    <mergeCell ref="F57:I58"/>
    <mergeCell ref="D60:I60"/>
    <mergeCell ref="J60:Q60"/>
    <mergeCell ref="AI45:AP46"/>
    <mergeCell ref="R62:Z62"/>
    <mergeCell ref="AA62:AC62"/>
    <mergeCell ref="AD62:AM62"/>
    <mergeCell ref="Q47:R48"/>
    <mergeCell ref="V47:W48"/>
    <mergeCell ref="AE45:AH46"/>
    <mergeCell ref="X47:AD48"/>
    <mergeCell ref="Q84:R85"/>
    <mergeCell ref="V84:W85"/>
    <mergeCell ref="X53:AD54"/>
    <mergeCell ref="D94:I94"/>
    <mergeCell ref="J94:Q94"/>
    <mergeCell ref="R94:Z94"/>
    <mergeCell ref="C88:E89"/>
    <mergeCell ref="D91:I91"/>
    <mergeCell ref="J91:Q91"/>
    <mergeCell ref="R91:Z91"/>
    <mergeCell ref="AI88:AP89"/>
    <mergeCell ref="AD93:AM93"/>
    <mergeCell ref="X84:AD85"/>
    <mergeCell ref="AA94:AC94"/>
    <mergeCell ref="X76:AD77"/>
    <mergeCell ref="Q76:R77"/>
    <mergeCell ref="D93:I93"/>
    <mergeCell ref="J93:Q93"/>
    <mergeCell ref="R93:Z93"/>
    <mergeCell ref="AA93:AC93"/>
    <mergeCell ref="AD94:AM94"/>
    <mergeCell ref="AE76:AH77"/>
    <mergeCell ref="C82:E83"/>
    <mergeCell ref="F82:I83"/>
    <mergeCell ref="AE84:AH85"/>
    <mergeCell ref="AD91:AM91"/>
    <mergeCell ref="AE88:AH89"/>
    <mergeCell ref="V88:W89"/>
    <mergeCell ref="F88:I89"/>
    <mergeCell ref="C84:E85"/>
    <mergeCell ref="F84:I85"/>
    <mergeCell ref="J84:P85"/>
    <mergeCell ref="X88:AD89"/>
    <mergeCell ref="Q88:R89"/>
    <mergeCell ref="J62:Q62"/>
    <mergeCell ref="J86:P87"/>
    <mergeCell ref="F78:I79"/>
    <mergeCell ref="Q68:R68"/>
    <mergeCell ref="S70:AB70"/>
    <mergeCell ref="Q69:R69"/>
    <mergeCell ref="X82:AD83"/>
    <mergeCell ref="Q80:R81"/>
    <mergeCell ref="J80:P81"/>
    <mergeCell ref="X80:AD81"/>
    <mergeCell ref="V86:W87"/>
    <mergeCell ref="Q86:R87"/>
    <mergeCell ref="AI78:AP79"/>
    <mergeCell ref="V80:W81"/>
    <mergeCell ref="J75:P75"/>
    <mergeCell ref="AI82:AP83"/>
    <mergeCell ref="AI75:AP75"/>
    <mergeCell ref="X78:AD79"/>
    <mergeCell ref="AE78:AH79"/>
    <mergeCell ref="AE82:AH83"/>
    <mergeCell ref="J78:P79"/>
    <mergeCell ref="J82:P83"/>
    <mergeCell ref="AI84:AP85"/>
    <mergeCell ref="E68:N68"/>
    <mergeCell ref="S69:AB69"/>
    <mergeCell ref="X86:AD87"/>
    <mergeCell ref="AE86:AH87"/>
    <mergeCell ref="F80:I81"/>
    <mergeCell ref="V82:W83"/>
    <mergeCell ref="Q82:R83"/>
    <mergeCell ref="J45:P46"/>
    <mergeCell ref="C51:E52"/>
    <mergeCell ref="Q44:W44"/>
    <mergeCell ref="AA61:AC61"/>
    <mergeCell ref="X57:AD58"/>
    <mergeCell ref="D92:I92"/>
    <mergeCell ref="J92:Q92"/>
    <mergeCell ref="R92:Z92"/>
    <mergeCell ref="AA92:AC92"/>
    <mergeCell ref="Q57:R58"/>
    <mergeCell ref="V57:W58"/>
    <mergeCell ref="C76:E77"/>
    <mergeCell ref="C70:D70"/>
    <mergeCell ref="AD92:AM92"/>
    <mergeCell ref="AI80:AP81"/>
    <mergeCell ref="AI49:AP50"/>
    <mergeCell ref="AA91:AC91"/>
    <mergeCell ref="X75:AD75"/>
    <mergeCell ref="AI51:AP52"/>
    <mergeCell ref="AD61:AM61"/>
    <mergeCell ref="AE57:AH58"/>
    <mergeCell ref="R60:Z60"/>
    <mergeCell ref="AA60:AC60"/>
    <mergeCell ref="V76:W77"/>
    <mergeCell ref="J76:P77"/>
    <mergeCell ref="D61:I61"/>
    <mergeCell ref="J61:Q61"/>
    <mergeCell ref="C71:D71"/>
    <mergeCell ref="E71:N71"/>
    <mergeCell ref="D62:I62"/>
    <mergeCell ref="R61:Z61"/>
    <mergeCell ref="J88:P89"/>
    <mergeCell ref="X44:AD44"/>
    <mergeCell ref="D31:I31"/>
    <mergeCell ref="J31:Q31"/>
    <mergeCell ref="J49:P50"/>
    <mergeCell ref="X49:AD50"/>
    <mergeCell ref="Q38:R38"/>
    <mergeCell ref="Q39:R39"/>
    <mergeCell ref="S39:AB39"/>
    <mergeCell ref="C45:E46"/>
    <mergeCell ref="V49:W50"/>
    <mergeCell ref="F45:I46"/>
    <mergeCell ref="AD31:AM31"/>
    <mergeCell ref="AI57:AP58"/>
    <mergeCell ref="AE51:AH52"/>
    <mergeCell ref="AI55:AP56"/>
    <mergeCell ref="AI53:AP54"/>
    <mergeCell ref="V55:W56"/>
    <mergeCell ref="V51:W52"/>
    <mergeCell ref="X55:AD56"/>
    <mergeCell ref="X51:AD52"/>
    <mergeCell ref="AE53:AH54"/>
    <mergeCell ref="S38:AB38"/>
    <mergeCell ref="C38:D38"/>
    <mergeCell ref="E38:N38"/>
    <mergeCell ref="C47:E48"/>
    <mergeCell ref="F47:I48"/>
    <mergeCell ref="C40:D40"/>
    <mergeCell ref="E40:N40"/>
    <mergeCell ref="C39:D39"/>
    <mergeCell ref="E39:N39"/>
    <mergeCell ref="J44:P44"/>
    <mergeCell ref="J47:P48"/>
    <mergeCell ref="AM3:AO3"/>
    <mergeCell ref="S7:AB7"/>
    <mergeCell ref="AG5:AP5"/>
    <mergeCell ref="AI17:AP18"/>
    <mergeCell ref="D28:I28"/>
    <mergeCell ref="J28:Q28"/>
    <mergeCell ref="R28:Z28"/>
    <mergeCell ref="AA28:AC28"/>
    <mergeCell ref="AI25:AP26"/>
    <mergeCell ref="AI12:AP12"/>
    <mergeCell ref="AD28:AM28"/>
    <mergeCell ref="AE25:AH26"/>
    <mergeCell ref="J12:P12"/>
    <mergeCell ref="Q12:W12"/>
    <mergeCell ref="AC35:AF35"/>
    <mergeCell ref="Q37:R37"/>
    <mergeCell ref="S37:AB37"/>
    <mergeCell ref="AE37:AF37"/>
    <mergeCell ref="V13:W14"/>
    <mergeCell ref="C3:F3"/>
    <mergeCell ref="G3:O3"/>
    <mergeCell ref="P3:S3"/>
    <mergeCell ref="T3:AB3"/>
    <mergeCell ref="C12:E12"/>
    <mergeCell ref="F12:I12"/>
    <mergeCell ref="AE5:AF5"/>
    <mergeCell ref="C5:D5"/>
    <mergeCell ref="E5:N5"/>
    <mergeCell ref="Q5:R5"/>
    <mergeCell ref="S5:AB5"/>
    <mergeCell ref="B32:AB33"/>
    <mergeCell ref="C21:E22"/>
    <mergeCell ref="AC64:AJ65"/>
    <mergeCell ref="C97:F97"/>
    <mergeCell ref="G97:O97"/>
    <mergeCell ref="P97:S97"/>
    <mergeCell ref="T97:AB97"/>
    <mergeCell ref="AC97:AF97"/>
    <mergeCell ref="AP64:AQ65"/>
    <mergeCell ref="AK64:AO65"/>
    <mergeCell ref="AP95:AQ96"/>
    <mergeCell ref="B95:AB96"/>
    <mergeCell ref="AC95:AJ96"/>
    <mergeCell ref="AG97:AL97"/>
    <mergeCell ref="AM97:AO97"/>
    <mergeCell ref="AG39:AP39"/>
    <mergeCell ref="AI21:AP22"/>
    <mergeCell ref="AI23:AP24"/>
    <mergeCell ref="AE21:AH22"/>
    <mergeCell ref="AD29:AM29"/>
    <mergeCell ref="AD30:AM30"/>
    <mergeCell ref="AE23:AH24"/>
    <mergeCell ref="X25:AD26"/>
    <mergeCell ref="R29:Z29"/>
    <mergeCell ref="C35:F35"/>
    <mergeCell ref="G35:O35"/>
    <mergeCell ref="P35:S35"/>
    <mergeCell ref="C37:D37"/>
    <mergeCell ref="E37:N37"/>
    <mergeCell ref="D30:I30"/>
    <mergeCell ref="J30:Q30"/>
    <mergeCell ref="R30:Z30"/>
    <mergeCell ref="AE38:AF38"/>
    <mergeCell ref="AE39:AF39"/>
    <mergeCell ref="C99:D99"/>
    <mergeCell ref="E99:N99"/>
    <mergeCell ref="Q99:R99"/>
    <mergeCell ref="S99:AB99"/>
    <mergeCell ref="AE99:AF99"/>
    <mergeCell ref="B64:AB65"/>
    <mergeCell ref="AG99:AP99"/>
    <mergeCell ref="AE100:AF100"/>
    <mergeCell ref="C7:D7"/>
    <mergeCell ref="E7:N7"/>
    <mergeCell ref="Q6:R6"/>
    <mergeCell ref="S6:AB6"/>
    <mergeCell ref="AG6:AP6"/>
    <mergeCell ref="AE7:AF7"/>
    <mergeCell ref="AG7:AP7"/>
    <mergeCell ref="C6:D6"/>
    <mergeCell ref="E6:N6"/>
    <mergeCell ref="Q7:R7"/>
    <mergeCell ref="AI15:AP16"/>
    <mergeCell ref="V17:W18"/>
    <mergeCell ref="Q15:R16"/>
    <mergeCell ref="AI19:AP20"/>
    <mergeCell ref="V19:W20"/>
    <mergeCell ref="AA29:AC29"/>
    <mergeCell ref="R31:Z31"/>
    <mergeCell ref="AA31:AC31"/>
    <mergeCell ref="D29:I29"/>
    <mergeCell ref="J29:Q29"/>
    <mergeCell ref="AA30:AC30"/>
    <mergeCell ref="AI13:AP14"/>
    <mergeCell ref="AE13:AH14"/>
    <mergeCell ref="X12:AD12"/>
    <mergeCell ref="C17:E18"/>
    <mergeCell ref="C23:E24"/>
    <mergeCell ref="AC32:AJ33"/>
    <mergeCell ref="C8:D8"/>
    <mergeCell ref="E8:N8"/>
    <mergeCell ref="AE6:AF6"/>
    <mergeCell ref="AE12:AH12"/>
    <mergeCell ref="V15:W16"/>
    <mergeCell ref="AE15:AH16"/>
    <mergeCell ref="F15:I16"/>
    <mergeCell ref="Q17:R18"/>
    <mergeCell ref="F17:I18"/>
    <mergeCell ref="X19:AD20"/>
    <mergeCell ref="J17:P18"/>
    <mergeCell ref="X17:AD18"/>
    <mergeCell ref="AC3:AF3"/>
    <mergeCell ref="AG3:AL3"/>
    <mergeCell ref="AG100:AP100"/>
    <mergeCell ref="AE101:AF101"/>
    <mergeCell ref="AG101:AP101"/>
    <mergeCell ref="AE107:AH108"/>
    <mergeCell ref="AI107:AP108"/>
    <mergeCell ref="F106:I106"/>
    <mergeCell ref="J106:P106"/>
    <mergeCell ref="Q106:W106"/>
    <mergeCell ref="C100:D100"/>
    <mergeCell ref="E100:N100"/>
    <mergeCell ref="Q100:R100"/>
    <mergeCell ref="S100:AB100"/>
    <mergeCell ref="Q101:R101"/>
    <mergeCell ref="S101:AB101"/>
    <mergeCell ref="X106:AD106"/>
    <mergeCell ref="AE106:AH106"/>
    <mergeCell ref="AI106:AP106"/>
    <mergeCell ref="C102:D102"/>
    <mergeCell ref="E102:N102"/>
    <mergeCell ref="C101:D101"/>
    <mergeCell ref="E101:N101"/>
    <mergeCell ref="C106:E106"/>
    <mergeCell ref="AI113:AP114"/>
    <mergeCell ref="V109:W110"/>
    <mergeCell ref="B107:B108"/>
    <mergeCell ref="C107:E108"/>
    <mergeCell ref="F107:I108"/>
    <mergeCell ref="J107:P108"/>
    <mergeCell ref="Q113:R114"/>
    <mergeCell ref="V113:W114"/>
    <mergeCell ref="X109:AD110"/>
    <mergeCell ref="AE109:AH110"/>
    <mergeCell ref="Q107:R108"/>
    <mergeCell ref="V107:W108"/>
    <mergeCell ref="X107:AD108"/>
    <mergeCell ref="B109:B110"/>
    <mergeCell ref="C109:E110"/>
    <mergeCell ref="F109:I110"/>
    <mergeCell ref="J109:P110"/>
    <mergeCell ref="Q109:R110"/>
    <mergeCell ref="C117:E118"/>
    <mergeCell ref="F117:I118"/>
    <mergeCell ref="J117:P118"/>
    <mergeCell ref="X119:AD120"/>
    <mergeCell ref="AE119:AH120"/>
    <mergeCell ref="AI119:AP120"/>
    <mergeCell ref="Q117:R118"/>
    <mergeCell ref="B115:B116"/>
    <mergeCell ref="C115:E116"/>
    <mergeCell ref="F115:I116"/>
    <mergeCell ref="J115:P116"/>
    <mergeCell ref="Q115:R116"/>
    <mergeCell ref="B113:B114"/>
    <mergeCell ref="C113:E114"/>
    <mergeCell ref="F113:I114"/>
    <mergeCell ref="J113:P114"/>
    <mergeCell ref="AI109:AP110"/>
    <mergeCell ref="B111:B112"/>
    <mergeCell ref="C111:E112"/>
    <mergeCell ref="F111:I112"/>
    <mergeCell ref="J111:P112"/>
    <mergeCell ref="Q111:R112"/>
    <mergeCell ref="V111:W112"/>
    <mergeCell ref="X111:AD112"/>
    <mergeCell ref="AE111:AH112"/>
    <mergeCell ref="AI111:AP112"/>
    <mergeCell ref="X113:AD114"/>
    <mergeCell ref="AE113:AH114"/>
    <mergeCell ref="V115:W116"/>
    <mergeCell ref="X115:AD116"/>
    <mergeCell ref="AE115:AH116"/>
    <mergeCell ref="AI115:AP116"/>
    <mergeCell ref="J122:Q122"/>
    <mergeCell ref="R122:Z122"/>
    <mergeCell ref="AA122:AC122"/>
    <mergeCell ref="J124:Q124"/>
    <mergeCell ref="R124:Z124"/>
    <mergeCell ref="AA124:AC124"/>
    <mergeCell ref="AD122:AM122"/>
    <mergeCell ref="AD124:AM124"/>
    <mergeCell ref="J125:Q125"/>
    <mergeCell ref="V119:W120"/>
    <mergeCell ref="V117:W118"/>
    <mergeCell ref="X117:AD118"/>
    <mergeCell ref="AE117:AH118"/>
    <mergeCell ref="B126:AB127"/>
    <mergeCell ref="AC126:AJ127"/>
    <mergeCell ref="D125:I125"/>
    <mergeCell ref="R125:Z125"/>
    <mergeCell ref="AA125:AC125"/>
    <mergeCell ref="AD125:AM125"/>
    <mergeCell ref="D123:I123"/>
    <mergeCell ref="J123:Q123"/>
    <mergeCell ref="R123:Z123"/>
    <mergeCell ref="AA123:AC123"/>
    <mergeCell ref="AI117:AP118"/>
    <mergeCell ref="B119:B120"/>
    <mergeCell ref="C119:E120"/>
    <mergeCell ref="F119:I120"/>
    <mergeCell ref="J119:P120"/>
    <mergeCell ref="Q119:R120"/>
    <mergeCell ref="AD123:AM123"/>
    <mergeCell ref="D122:I122"/>
    <mergeCell ref="B117:B118"/>
    <mergeCell ref="D124:I124"/>
    <mergeCell ref="X138:AD138"/>
    <mergeCell ref="AE138:AH138"/>
    <mergeCell ref="AI138:AP138"/>
    <mergeCell ref="AC129:AF129"/>
    <mergeCell ref="AG129:AL129"/>
    <mergeCell ref="AM129:AO129"/>
    <mergeCell ref="C134:D134"/>
    <mergeCell ref="E134:N134"/>
    <mergeCell ref="C133:D133"/>
    <mergeCell ref="C129:F129"/>
    <mergeCell ref="G129:O129"/>
    <mergeCell ref="P129:S129"/>
    <mergeCell ref="T129:AB129"/>
    <mergeCell ref="C131:D131"/>
    <mergeCell ref="E131:N131"/>
    <mergeCell ref="Q131:R131"/>
    <mergeCell ref="S131:AB131"/>
    <mergeCell ref="AK126:AO127"/>
    <mergeCell ref="AP126:AQ127"/>
    <mergeCell ref="AE139:AH140"/>
    <mergeCell ref="AI139:AP140"/>
    <mergeCell ref="X141:AD142"/>
    <mergeCell ref="AE141:AH142"/>
    <mergeCell ref="Q139:R140"/>
    <mergeCell ref="V139:W140"/>
    <mergeCell ref="X139:AD140"/>
    <mergeCell ref="AI141:AP142"/>
    <mergeCell ref="S133:AB133"/>
    <mergeCell ref="AE131:AF131"/>
    <mergeCell ref="AG131:AP131"/>
    <mergeCell ref="AE132:AF132"/>
    <mergeCell ref="AG132:AP132"/>
    <mergeCell ref="AE133:AF133"/>
    <mergeCell ref="AG133:AP133"/>
    <mergeCell ref="E133:N133"/>
    <mergeCell ref="C138:E138"/>
    <mergeCell ref="F138:I138"/>
    <mergeCell ref="J138:P138"/>
    <mergeCell ref="Q138:W138"/>
    <mergeCell ref="C132:D132"/>
    <mergeCell ref="E132:N132"/>
    <mergeCell ref="Q132:R132"/>
    <mergeCell ref="S132:AB132"/>
    <mergeCell ref="Q133:R133"/>
    <mergeCell ref="Q143:R144"/>
    <mergeCell ref="V143:W144"/>
    <mergeCell ref="X143:AD144"/>
    <mergeCell ref="AE143:AH144"/>
    <mergeCell ref="AI143:AP144"/>
    <mergeCell ref="Q149:R150"/>
    <mergeCell ref="V149:W150"/>
    <mergeCell ref="X149:AD150"/>
    <mergeCell ref="AE149:AH150"/>
    <mergeCell ref="AI145:AP146"/>
    <mergeCell ref="X145:AD146"/>
    <mergeCell ref="AE145:AH146"/>
    <mergeCell ref="V147:W148"/>
    <mergeCell ref="X147:AD148"/>
    <mergeCell ref="AE147:AH148"/>
    <mergeCell ref="AI147:AP148"/>
    <mergeCell ref="B139:B140"/>
    <mergeCell ref="C139:E140"/>
    <mergeCell ref="F139:I140"/>
    <mergeCell ref="J139:P140"/>
    <mergeCell ref="Q145:R146"/>
    <mergeCell ref="V145:W146"/>
    <mergeCell ref="B143:B144"/>
    <mergeCell ref="C143:E144"/>
    <mergeCell ref="F143:I144"/>
    <mergeCell ref="J143:P144"/>
    <mergeCell ref="B141:B142"/>
    <mergeCell ref="C141:E142"/>
    <mergeCell ref="F141:I142"/>
    <mergeCell ref="J141:P142"/>
    <mergeCell ref="Q141:R142"/>
    <mergeCell ref="V141:W142"/>
    <mergeCell ref="B149:B150"/>
    <mergeCell ref="C149:E150"/>
    <mergeCell ref="F149:I150"/>
    <mergeCell ref="D155:I155"/>
    <mergeCell ref="J155:Q155"/>
    <mergeCell ref="B151:B152"/>
    <mergeCell ref="C151:E152"/>
    <mergeCell ref="F151:I152"/>
    <mergeCell ref="J151:P152"/>
    <mergeCell ref="B147:B148"/>
    <mergeCell ref="C147:E148"/>
    <mergeCell ref="F147:I148"/>
    <mergeCell ref="J147:P148"/>
    <mergeCell ref="Q147:R148"/>
    <mergeCell ref="B145:B146"/>
    <mergeCell ref="C145:E146"/>
    <mergeCell ref="F145:I146"/>
    <mergeCell ref="J145:P146"/>
    <mergeCell ref="AA157:AC157"/>
    <mergeCell ref="AD157:AM157"/>
    <mergeCell ref="C162:D162"/>
    <mergeCell ref="E162:N162"/>
    <mergeCell ref="Q162:R162"/>
    <mergeCell ref="S162:AB162"/>
    <mergeCell ref="AI149:AP150"/>
    <mergeCell ref="Q151:R152"/>
    <mergeCell ref="V151:W152"/>
    <mergeCell ref="J149:P150"/>
    <mergeCell ref="X151:AD152"/>
    <mergeCell ref="AE151:AH152"/>
    <mergeCell ref="AI151:AP152"/>
    <mergeCell ref="R155:Z155"/>
    <mergeCell ref="AA155:AC155"/>
    <mergeCell ref="J156:Q156"/>
    <mergeCell ref="R156:Z156"/>
    <mergeCell ref="AA156:AC156"/>
    <mergeCell ref="AD154:AM154"/>
    <mergeCell ref="AD155:AM155"/>
    <mergeCell ref="J154:Q154"/>
    <mergeCell ref="R154:Z154"/>
    <mergeCell ref="AA154:AC154"/>
    <mergeCell ref="D154:I154"/>
    <mergeCell ref="AG162:AP162"/>
    <mergeCell ref="B158:AB159"/>
    <mergeCell ref="AC158:AJ159"/>
    <mergeCell ref="D157:I157"/>
    <mergeCell ref="J157:Q157"/>
    <mergeCell ref="R157:Z157"/>
    <mergeCell ref="D156:I156"/>
    <mergeCell ref="AK158:AO159"/>
    <mergeCell ref="C160:F160"/>
    <mergeCell ref="G160:O160"/>
    <mergeCell ref="P160:S160"/>
    <mergeCell ref="T160:AB160"/>
    <mergeCell ref="AE170:AH171"/>
    <mergeCell ref="AI170:AP171"/>
    <mergeCell ref="AC160:AF160"/>
    <mergeCell ref="AG160:AL160"/>
    <mergeCell ref="AM160:AO160"/>
    <mergeCell ref="AE162:AF162"/>
    <mergeCell ref="C163:D163"/>
    <mergeCell ref="E163:N163"/>
    <mergeCell ref="Q163:R163"/>
    <mergeCell ref="S163:AB163"/>
    <mergeCell ref="F169:I169"/>
    <mergeCell ref="J169:P169"/>
    <mergeCell ref="Q169:W169"/>
    <mergeCell ref="X170:AD171"/>
    <mergeCell ref="AE164:AF164"/>
    <mergeCell ref="AG164:AP164"/>
    <mergeCell ref="C165:D165"/>
    <mergeCell ref="E165:N165"/>
    <mergeCell ref="C164:D164"/>
    <mergeCell ref="E164:N164"/>
    <mergeCell ref="Q164:R164"/>
    <mergeCell ref="S164:AB164"/>
    <mergeCell ref="C169:E169"/>
    <mergeCell ref="B170:B171"/>
    <mergeCell ref="C170:E171"/>
    <mergeCell ref="F170:I171"/>
    <mergeCell ref="J170:P171"/>
    <mergeCell ref="Q170:R171"/>
    <mergeCell ref="V170:W171"/>
    <mergeCell ref="AE163:AF163"/>
    <mergeCell ref="AG163:AP163"/>
    <mergeCell ref="X169:AD169"/>
    <mergeCell ref="AE169:AH169"/>
    <mergeCell ref="AI169:AP169"/>
    <mergeCell ref="B176:B177"/>
    <mergeCell ref="C176:E177"/>
    <mergeCell ref="F176:I177"/>
    <mergeCell ref="J176:P177"/>
    <mergeCell ref="Q176:R177"/>
    <mergeCell ref="V176:W177"/>
    <mergeCell ref="B172:B173"/>
    <mergeCell ref="C172:E173"/>
    <mergeCell ref="F172:I173"/>
    <mergeCell ref="J172:P173"/>
    <mergeCell ref="AI176:AP177"/>
    <mergeCell ref="B178:B179"/>
    <mergeCell ref="C178:E179"/>
    <mergeCell ref="F178:I179"/>
    <mergeCell ref="J178:P179"/>
    <mergeCell ref="Q178:R179"/>
    <mergeCell ref="X174:AD175"/>
    <mergeCell ref="AE174:AH175"/>
    <mergeCell ref="AI174:AP175"/>
    <mergeCell ref="Q172:R173"/>
    <mergeCell ref="V172:W173"/>
    <mergeCell ref="X172:AD173"/>
    <mergeCell ref="AE172:AH173"/>
    <mergeCell ref="AI172:AP173"/>
    <mergeCell ref="B174:B175"/>
    <mergeCell ref="C174:E175"/>
    <mergeCell ref="F174:I175"/>
    <mergeCell ref="J174:P175"/>
    <mergeCell ref="Q174:R175"/>
    <mergeCell ref="V174:W175"/>
    <mergeCell ref="J185:Q185"/>
    <mergeCell ref="R185:Z185"/>
    <mergeCell ref="AA185:AC185"/>
    <mergeCell ref="J186:Q186"/>
    <mergeCell ref="R186:Z186"/>
    <mergeCell ref="AA186:AC186"/>
    <mergeCell ref="X176:AD177"/>
    <mergeCell ref="AE176:AH177"/>
    <mergeCell ref="AI180:AP181"/>
    <mergeCell ref="X182:AD183"/>
    <mergeCell ref="AE182:AH183"/>
    <mergeCell ref="AI182:AP183"/>
    <mergeCell ref="AE180:AH181"/>
    <mergeCell ref="V178:W179"/>
    <mergeCell ref="X178:AD179"/>
    <mergeCell ref="AE178:AH179"/>
    <mergeCell ref="AI178:AP179"/>
    <mergeCell ref="AD188:AM188"/>
    <mergeCell ref="D187:I187"/>
    <mergeCell ref="J187:Q187"/>
    <mergeCell ref="R187:Z187"/>
    <mergeCell ref="AA187:AC187"/>
    <mergeCell ref="AC191:AF191"/>
    <mergeCell ref="AG191:AL191"/>
    <mergeCell ref="AM191:AO191"/>
    <mergeCell ref="Q180:R181"/>
    <mergeCell ref="B189:AB190"/>
    <mergeCell ref="AC189:AJ190"/>
    <mergeCell ref="AD187:AM187"/>
    <mergeCell ref="D188:I188"/>
    <mergeCell ref="J188:Q188"/>
    <mergeCell ref="R188:Z188"/>
    <mergeCell ref="AA188:AC188"/>
    <mergeCell ref="AD185:AM185"/>
    <mergeCell ref="D186:I186"/>
    <mergeCell ref="B182:B183"/>
    <mergeCell ref="C182:E183"/>
    <mergeCell ref="F182:I183"/>
    <mergeCell ref="J182:P183"/>
    <mergeCell ref="V180:W181"/>
    <mergeCell ref="X180:AD181"/>
    <mergeCell ref="B180:B181"/>
    <mergeCell ref="C180:E181"/>
    <mergeCell ref="F180:I181"/>
    <mergeCell ref="J180:P181"/>
    <mergeCell ref="Q182:R183"/>
    <mergeCell ref="V182:W183"/>
    <mergeCell ref="AD186:AM186"/>
    <mergeCell ref="D185:I185"/>
    <mergeCell ref="C193:D193"/>
    <mergeCell ref="E193:N193"/>
    <mergeCell ref="Q193:R193"/>
    <mergeCell ref="S193:AB193"/>
    <mergeCell ref="Q195:R195"/>
    <mergeCell ref="S195:AB195"/>
    <mergeCell ref="AE193:AF193"/>
    <mergeCell ref="AG193:AP193"/>
    <mergeCell ref="C194:D194"/>
    <mergeCell ref="E194:N194"/>
    <mergeCell ref="Q194:R194"/>
    <mergeCell ref="S194:AB194"/>
    <mergeCell ref="C191:F191"/>
    <mergeCell ref="G191:O191"/>
    <mergeCell ref="P191:S191"/>
    <mergeCell ref="T191:AB191"/>
    <mergeCell ref="AE194:AF194"/>
    <mergeCell ref="AG194:AP194"/>
    <mergeCell ref="AE195:AF195"/>
    <mergeCell ref="AG195:AP195"/>
    <mergeCell ref="C207:E208"/>
    <mergeCell ref="F207:I208"/>
    <mergeCell ref="J207:P208"/>
    <mergeCell ref="Q207:R208"/>
    <mergeCell ref="V207:W208"/>
    <mergeCell ref="AI207:AP208"/>
    <mergeCell ref="C196:D196"/>
    <mergeCell ref="E196:N196"/>
    <mergeCell ref="C195:D195"/>
    <mergeCell ref="E195:N195"/>
    <mergeCell ref="X200:AD200"/>
    <mergeCell ref="AE200:AH200"/>
    <mergeCell ref="AI200:AP200"/>
    <mergeCell ref="B201:B202"/>
    <mergeCell ref="C201:E202"/>
    <mergeCell ref="F201:I202"/>
    <mergeCell ref="J201:P202"/>
    <mergeCell ref="Q201:R202"/>
    <mergeCell ref="V201:W202"/>
    <mergeCell ref="X201:AD202"/>
    <mergeCell ref="AE201:AH202"/>
    <mergeCell ref="AI201:AP202"/>
    <mergeCell ref="Q203:R204"/>
    <mergeCell ref="V203:W204"/>
    <mergeCell ref="X203:AD204"/>
    <mergeCell ref="AE203:AH204"/>
    <mergeCell ref="F213:I214"/>
    <mergeCell ref="J213:P214"/>
    <mergeCell ref="Q213:R214"/>
    <mergeCell ref="V213:W214"/>
    <mergeCell ref="X213:AD214"/>
    <mergeCell ref="AD217:AM217"/>
    <mergeCell ref="B211:B212"/>
    <mergeCell ref="C211:E212"/>
    <mergeCell ref="F211:I212"/>
    <mergeCell ref="J211:P212"/>
    <mergeCell ref="X207:AD208"/>
    <mergeCell ref="AE207:AH208"/>
    <mergeCell ref="AI211:AP212"/>
    <mergeCell ref="C200:E200"/>
    <mergeCell ref="F200:I200"/>
    <mergeCell ref="J200:P200"/>
    <mergeCell ref="Q200:W200"/>
    <mergeCell ref="AI203:AP204"/>
    <mergeCell ref="B205:B206"/>
    <mergeCell ref="C205:E206"/>
    <mergeCell ref="F205:I206"/>
    <mergeCell ref="J205:P206"/>
    <mergeCell ref="Q205:R206"/>
    <mergeCell ref="B203:B204"/>
    <mergeCell ref="C203:E204"/>
    <mergeCell ref="F203:I204"/>
    <mergeCell ref="J203:P204"/>
    <mergeCell ref="V209:W210"/>
    <mergeCell ref="X209:AD210"/>
    <mergeCell ref="AE209:AH210"/>
    <mergeCell ref="AI209:AP210"/>
    <mergeCell ref="B207:B208"/>
    <mergeCell ref="AD218:AM218"/>
    <mergeCell ref="AD219:AM219"/>
    <mergeCell ref="D217:I217"/>
    <mergeCell ref="D216:I216"/>
    <mergeCell ref="J216:Q216"/>
    <mergeCell ref="R216:Z216"/>
    <mergeCell ref="AA216:AC216"/>
    <mergeCell ref="J217:Q217"/>
    <mergeCell ref="D218:I218"/>
    <mergeCell ref="B209:B210"/>
    <mergeCell ref="C209:E210"/>
    <mergeCell ref="F209:I210"/>
    <mergeCell ref="J209:P210"/>
    <mergeCell ref="Q209:R210"/>
    <mergeCell ref="V205:W206"/>
    <mergeCell ref="X205:AD206"/>
    <mergeCell ref="AE205:AH206"/>
    <mergeCell ref="AI205:AP206"/>
    <mergeCell ref="Q211:R212"/>
    <mergeCell ref="V211:W212"/>
    <mergeCell ref="X211:AD212"/>
    <mergeCell ref="D219:I219"/>
    <mergeCell ref="J219:Q219"/>
    <mergeCell ref="R219:Z219"/>
    <mergeCell ref="AA219:AC219"/>
    <mergeCell ref="R217:Z217"/>
    <mergeCell ref="AA217:AC217"/>
    <mergeCell ref="AE213:AH214"/>
    <mergeCell ref="AI213:AP214"/>
    <mergeCell ref="AE211:AH212"/>
    <mergeCell ref="B213:B214"/>
    <mergeCell ref="C213:E214"/>
    <mergeCell ref="G223:O223"/>
    <mergeCell ref="P223:S223"/>
    <mergeCell ref="T223:AB223"/>
    <mergeCell ref="C225:D225"/>
    <mergeCell ref="E225:N225"/>
    <mergeCell ref="Q225:R225"/>
    <mergeCell ref="S225:AB225"/>
    <mergeCell ref="C232:E232"/>
    <mergeCell ref="F232:I232"/>
    <mergeCell ref="J232:P232"/>
    <mergeCell ref="Q232:W232"/>
    <mergeCell ref="AE225:AF225"/>
    <mergeCell ref="AG225:AP225"/>
    <mergeCell ref="C226:D226"/>
    <mergeCell ref="E226:N226"/>
    <mergeCell ref="Q226:R226"/>
    <mergeCell ref="S226:AB226"/>
    <mergeCell ref="AE226:AF226"/>
    <mergeCell ref="AG226:AP226"/>
    <mergeCell ref="C223:F223"/>
    <mergeCell ref="AC223:AF223"/>
    <mergeCell ref="AG223:AL223"/>
    <mergeCell ref="AM223:AO223"/>
    <mergeCell ref="AI235:AP236"/>
    <mergeCell ref="AI237:AP238"/>
    <mergeCell ref="AE233:AH234"/>
    <mergeCell ref="AI233:AP234"/>
    <mergeCell ref="AE235:AH236"/>
    <mergeCell ref="AE227:AF227"/>
    <mergeCell ref="AG227:AP227"/>
    <mergeCell ref="C228:D228"/>
    <mergeCell ref="E228:N228"/>
    <mergeCell ref="C227:D227"/>
    <mergeCell ref="E227:N227"/>
    <mergeCell ref="Q227:R227"/>
    <mergeCell ref="S227:AB227"/>
    <mergeCell ref="X232:AD232"/>
    <mergeCell ref="AE232:AH232"/>
    <mergeCell ref="AI232:AP232"/>
    <mergeCell ref="B233:B234"/>
    <mergeCell ref="C233:E234"/>
    <mergeCell ref="F233:I234"/>
    <mergeCell ref="J233:P234"/>
    <mergeCell ref="Q233:R234"/>
    <mergeCell ref="V233:W234"/>
    <mergeCell ref="X233:AD234"/>
    <mergeCell ref="Q235:R236"/>
    <mergeCell ref="V235:W236"/>
    <mergeCell ref="V237:W238"/>
    <mergeCell ref="X237:AD238"/>
    <mergeCell ref="X235:AD236"/>
    <mergeCell ref="B235:B236"/>
    <mergeCell ref="C235:E236"/>
    <mergeCell ref="F235:I236"/>
    <mergeCell ref="J235:P236"/>
    <mergeCell ref="AI241:AP242"/>
    <mergeCell ref="AI243:AP244"/>
    <mergeCell ref="B245:B246"/>
    <mergeCell ref="C245:E246"/>
    <mergeCell ref="F245:I246"/>
    <mergeCell ref="J245:P246"/>
    <mergeCell ref="Q245:R246"/>
    <mergeCell ref="V245:W246"/>
    <mergeCell ref="B243:B244"/>
    <mergeCell ref="C243:E244"/>
    <mergeCell ref="AA249:AC249"/>
    <mergeCell ref="B237:B238"/>
    <mergeCell ref="C237:E238"/>
    <mergeCell ref="F237:I238"/>
    <mergeCell ref="J237:P238"/>
    <mergeCell ref="Q237:R238"/>
    <mergeCell ref="AE237:AH238"/>
    <mergeCell ref="AI245:AP246"/>
    <mergeCell ref="J248:Q248"/>
    <mergeCell ref="R248:Z248"/>
    <mergeCell ref="AA248:AC248"/>
    <mergeCell ref="Q239:R240"/>
    <mergeCell ref="V239:W240"/>
    <mergeCell ref="X239:AD240"/>
    <mergeCell ref="AE239:AH240"/>
    <mergeCell ref="V241:W242"/>
    <mergeCell ref="X241:AD242"/>
    <mergeCell ref="AE241:AH242"/>
    <mergeCell ref="D251:I251"/>
    <mergeCell ref="J251:Q251"/>
    <mergeCell ref="R251:Z251"/>
    <mergeCell ref="AA251:AC251"/>
    <mergeCell ref="AD248:AM248"/>
    <mergeCell ref="D249:I249"/>
    <mergeCell ref="T254:AB254"/>
    <mergeCell ref="B252:AB253"/>
    <mergeCell ref="AC252:AJ253"/>
    <mergeCell ref="AK252:AO253"/>
    <mergeCell ref="AP252:AQ253"/>
    <mergeCell ref="J243:P244"/>
    <mergeCell ref="AI239:AP240"/>
    <mergeCell ref="B241:B242"/>
    <mergeCell ref="C241:E242"/>
    <mergeCell ref="F241:I242"/>
    <mergeCell ref="J241:P242"/>
    <mergeCell ref="Q241:R242"/>
    <mergeCell ref="B239:B240"/>
    <mergeCell ref="C239:E240"/>
    <mergeCell ref="F239:I240"/>
    <mergeCell ref="J239:P240"/>
    <mergeCell ref="F243:I244"/>
    <mergeCell ref="Q243:R244"/>
    <mergeCell ref="V243:W244"/>
    <mergeCell ref="X243:AD244"/>
    <mergeCell ref="AE243:AH244"/>
    <mergeCell ref="D250:I250"/>
    <mergeCell ref="X245:AD246"/>
    <mergeCell ref="AE245:AH246"/>
    <mergeCell ref="J249:Q249"/>
    <mergeCell ref="R249:Z249"/>
    <mergeCell ref="C259:D259"/>
    <mergeCell ref="E259:N259"/>
    <mergeCell ref="C258:D258"/>
    <mergeCell ref="E258:N258"/>
    <mergeCell ref="C263:E263"/>
    <mergeCell ref="F263:I263"/>
    <mergeCell ref="J263:P263"/>
    <mergeCell ref="S258:AB258"/>
    <mergeCell ref="X263:AD263"/>
    <mergeCell ref="AE263:AH263"/>
    <mergeCell ref="AI263:AP263"/>
    <mergeCell ref="AD249:AM249"/>
    <mergeCell ref="D248:I248"/>
    <mergeCell ref="Q259:R259"/>
    <mergeCell ref="S259:AB259"/>
    <mergeCell ref="J250:Q250"/>
    <mergeCell ref="R250:Z250"/>
    <mergeCell ref="AA250:AC250"/>
    <mergeCell ref="AC254:AF254"/>
    <mergeCell ref="AG254:AL254"/>
    <mergeCell ref="C256:D256"/>
    <mergeCell ref="E256:N256"/>
    <mergeCell ref="C260:D260"/>
    <mergeCell ref="E260:N260"/>
    <mergeCell ref="Q257:R257"/>
    <mergeCell ref="S257:AB257"/>
    <mergeCell ref="Q258:R258"/>
    <mergeCell ref="AM254:AO254"/>
    <mergeCell ref="AD250:AM250"/>
    <mergeCell ref="AD251:AM251"/>
    <mergeCell ref="C257:D257"/>
    <mergeCell ref="E257:N257"/>
    <mergeCell ref="Q256:R256"/>
    <mergeCell ref="S256:AB256"/>
    <mergeCell ref="C254:F254"/>
    <mergeCell ref="G254:O254"/>
    <mergeCell ref="P254:S254"/>
    <mergeCell ref="Q260:R260"/>
    <mergeCell ref="S260:AB260"/>
    <mergeCell ref="B264:B265"/>
    <mergeCell ref="C264:E265"/>
    <mergeCell ref="F264:I265"/>
    <mergeCell ref="J264:P265"/>
    <mergeCell ref="Q264:R265"/>
    <mergeCell ref="V264:W265"/>
    <mergeCell ref="AI268:AP269"/>
    <mergeCell ref="Q266:R267"/>
    <mergeCell ref="V266:W267"/>
    <mergeCell ref="X266:AD267"/>
    <mergeCell ref="AE266:AH267"/>
    <mergeCell ref="B266:B267"/>
    <mergeCell ref="C266:E267"/>
    <mergeCell ref="F266:I267"/>
    <mergeCell ref="J266:P267"/>
    <mergeCell ref="Q263:W263"/>
    <mergeCell ref="AI266:AP267"/>
    <mergeCell ref="B268:B269"/>
    <mergeCell ref="C268:E269"/>
    <mergeCell ref="F268:I269"/>
    <mergeCell ref="J268:P269"/>
    <mergeCell ref="Q268:R269"/>
    <mergeCell ref="V268:W269"/>
    <mergeCell ref="X268:AD269"/>
    <mergeCell ref="AE268:AH269"/>
    <mergeCell ref="R279:Z279"/>
    <mergeCell ref="AA279:AC279"/>
    <mergeCell ref="J280:Q280"/>
    <mergeCell ref="R280:Z280"/>
    <mergeCell ref="AA280:AC280"/>
    <mergeCell ref="X270:AD271"/>
    <mergeCell ref="AE270:AH271"/>
    <mergeCell ref="AI274:AP275"/>
    <mergeCell ref="X276:AD277"/>
    <mergeCell ref="AE276:AH277"/>
    <mergeCell ref="AI276:AP277"/>
    <mergeCell ref="AE274:AH275"/>
    <mergeCell ref="B270:B271"/>
    <mergeCell ref="C270:E271"/>
    <mergeCell ref="F270:I271"/>
    <mergeCell ref="J270:P271"/>
    <mergeCell ref="Q270:R271"/>
    <mergeCell ref="V270:W271"/>
    <mergeCell ref="AI270:AP271"/>
    <mergeCell ref="B272:B273"/>
    <mergeCell ref="C272:E273"/>
    <mergeCell ref="F272:I273"/>
    <mergeCell ref="J272:P273"/>
    <mergeCell ref="Q272:R273"/>
    <mergeCell ref="V272:W273"/>
    <mergeCell ref="X272:AD273"/>
    <mergeCell ref="AE272:AH273"/>
    <mergeCell ref="AI272:AP273"/>
    <mergeCell ref="D281:I281"/>
    <mergeCell ref="J281:Q281"/>
    <mergeCell ref="R281:Z281"/>
    <mergeCell ref="AA281:AC281"/>
    <mergeCell ref="AC285:AF285"/>
    <mergeCell ref="AG285:AL285"/>
    <mergeCell ref="AM285:AO285"/>
    <mergeCell ref="Q274:R275"/>
    <mergeCell ref="B283:AB284"/>
    <mergeCell ref="AC283:AJ284"/>
    <mergeCell ref="AD281:AM281"/>
    <mergeCell ref="D282:I282"/>
    <mergeCell ref="J282:Q282"/>
    <mergeCell ref="R282:Z282"/>
    <mergeCell ref="AA282:AC282"/>
    <mergeCell ref="AD279:AM279"/>
    <mergeCell ref="D280:I280"/>
    <mergeCell ref="B276:B277"/>
    <mergeCell ref="C276:E277"/>
    <mergeCell ref="F276:I277"/>
    <mergeCell ref="J276:P277"/>
    <mergeCell ref="V274:W275"/>
    <mergeCell ref="X274:AD275"/>
    <mergeCell ref="B274:B275"/>
    <mergeCell ref="C274:E275"/>
    <mergeCell ref="F274:I275"/>
    <mergeCell ref="J274:P275"/>
    <mergeCell ref="Q276:R277"/>
    <mergeCell ref="V276:W277"/>
    <mergeCell ref="AD280:AM280"/>
    <mergeCell ref="D279:I279"/>
    <mergeCell ref="J279:Q279"/>
    <mergeCell ref="C287:D287"/>
    <mergeCell ref="E287:N287"/>
    <mergeCell ref="Q287:R287"/>
    <mergeCell ref="S287:AB287"/>
    <mergeCell ref="Q289:R289"/>
    <mergeCell ref="S289:AB289"/>
    <mergeCell ref="AE287:AF287"/>
    <mergeCell ref="AG287:AP287"/>
    <mergeCell ref="C288:D288"/>
    <mergeCell ref="E288:N288"/>
    <mergeCell ref="Q288:R288"/>
    <mergeCell ref="S288:AB288"/>
    <mergeCell ref="C285:F285"/>
    <mergeCell ref="G285:O285"/>
    <mergeCell ref="P285:S285"/>
    <mergeCell ref="T285:AB285"/>
    <mergeCell ref="AE288:AF288"/>
    <mergeCell ref="AG288:AP288"/>
    <mergeCell ref="C294:E294"/>
    <mergeCell ref="F294:I294"/>
    <mergeCell ref="J294:P294"/>
    <mergeCell ref="Q294:W294"/>
    <mergeCell ref="AI297:AP298"/>
    <mergeCell ref="B299:B300"/>
    <mergeCell ref="C299:E300"/>
    <mergeCell ref="F299:I300"/>
    <mergeCell ref="J299:P300"/>
    <mergeCell ref="Q299:R300"/>
    <mergeCell ref="AE289:AF289"/>
    <mergeCell ref="AG289:AP289"/>
    <mergeCell ref="C290:D290"/>
    <mergeCell ref="E290:N290"/>
    <mergeCell ref="C289:D289"/>
    <mergeCell ref="E289:N289"/>
    <mergeCell ref="X294:AD294"/>
    <mergeCell ref="AE294:AH294"/>
    <mergeCell ref="AI294:AP294"/>
    <mergeCell ref="B295:B296"/>
    <mergeCell ref="C295:E296"/>
    <mergeCell ref="F295:I296"/>
    <mergeCell ref="J295:P296"/>
    <mergeCell ref="Q295:R296"/>
    <mergeCell ref="V295:W296"/>
    <mergeCell ref="X295:AD296"/>
    <mergeCell ref="AE295:AH296"/>
    <mergeCell ref="AI295:AP296"/>
    <mergeCell ref="B297:B298"/>
    <mergeCell ref="C297:E298"/>
    <mergeCell ref="F297:I298"/>
    <mergeCell ref="J297:P298"/>
    <mergeCell ref="V299:W300"/>
    <mergeCell ref="X299:AD300"/>
    <mergeCell ref="AE299:AH300"/>
    <mergeCell ref="AI299:AP300"/>
    <mergeCell ref="Q297:R298"/>
    <mergeCell ref="V297:W298"/>
    <mergeCell ref="X297:AD298"/>
    <mergeCell ref="AE297:AH298"/>
    <mergeCell ref="AE307:AH308"/>
    <mergeCell ref="AI307:AP308"/>
    <mergeCell ref="B305:B306"/>
    <mergeCell ref="C305:E306"/>
    <mergeCell ref="F305:I306"/>
    <mergeCell ref="J305:P306"/>
    <mergeCell ref="Q305:R306"/>
    <mergeCell ref="V305:W306"/>
    <mergeCell ref="X305:AD306"/>
    <mergeCell ref="AE305:AH306"/>
    <mergeCell ref="X301:AD302"/>
    <mergeCell ref="AE301:AH302"/>
    <mergeCell ref="AI305:AP306"/>
    <mergeCell ref="B307:B308"/>
    <mergeCell ref="C307:E308"/>
    <mergeCell ref="F307:I308"/>
    <mergeCell ref="J307:P308"/>
    <mergeCell ref="Q307:R308"/>
    <mergeCell ref="V307:W308"/>
    <mergeCell ref="X307:AD308"/>
    <mergeCell ref="V303:W304"/>
    <mergeCell ref="X303:AD304"/>
    <mergeCell ref="AE303:AH304"/>
    <mergeCell ref="AI303:AP304"/>
    <mergeCell ref="B301:B302"/>
    <mergeCell ref="C301:E302"/>
    <mergeCell ref="F301:I302"/>
    <mergeCell ref="J301:P302"/>
    <mergeCell ref="Q301:R302"/>
    <mergeCell ref="V301:W302"/>
    <mergeCell ref="AD310:AM310"/>
    <mergeCell ref="D311:I311"/>
    <mergeCell ref="J311:Q311"/>
    <mergeCell ref="R311:Z311"/>
    <mergeCell ref="AA311:AC311"/>
    <mergeCell ref="AD311:AM311"/>
    <mergeCell ref="D310:I310"/>
    <mergeCell ref="J310:Q310"/>
    <mergeCell ref="AI301:AP302"/>
    <mergeCell ref="B303:B304"/>
    <mergeCell ref="C303:E304"/>
    <mergeCell ref="F303:I304"/>
    <mergeCell ref="J303:P304"/>
    <mergeCell ref="Q303:R304"/>
    <mergeCell ref="D312:I312"/>
    <mergeCell ref="AC316:AF316"/>
    <mergeCell ref="AG316:AL316"/>
    <mergeCell ref="AM316:AO316"/>
    <mergeCell ref="AD312:AM312"/>
    <mergeCell ref="AC314:AJ315"/>
    <mergeCell ref="AK314:AO315"/>
    <mergeCell ref="C318:D318"/>
    <mergeCell ref="E318:N318"/>
    <mergeCell ref="Q318:R318"/>
    <mergeCell ref="S318:AB318"/>
    <mergeCell ref="Q320:R320"/>
    <mergeCell ref="S320:AB320"/>
    <mergeCell ref="Q321:R321"/>
    <mergeCell ref="S321:AB321"/>
    <mergeCell ref="C319:D319"/>
    <mergeCell ref="E319:N319"/>
    <mergeCell ref="Q319:R319"/>
    <mergeCell ref="S319:AB319"/>
    <mergeCell ref="C316:F316"/>
    <mergeCell ref="G316:O316"/>
    <mergeCell ref="P316:S316"/>
    <mergeCell ref="T316:AB316"/>
    <mergeCell ref="AE318:AF318"/>
    <mergeCell ref="AG318:AP318"/>
    <mergeCell ref="B330:B331"/>
    <mergeCell ref="C330:E331"/>
    <mergeCell ref="F330:I331"/>
    <mergeCell ref="J330:P331"/>
    <mergeCell ref="Q330:R331"/>
    <mergeCell ref="AE319:AF319"/>
    <mergeCell ref="AG319:AP319"/>
    <mergeCell ref="C321:D321"/>
    <mergeCell ref="E321:N321"/>
    <mergeCell ref="C320:D320"/>
    <mergeCell ref="E320:N320"/>
    <mergeCell ref="X325:AD325"/>
    <mergeCell ref="AE325:AH325"/>
    <mergeCell ref="AI325:AP325"/>
    <mergeCell ref="B326:B327"/>
    <mergeCell ref="C326:E327"/>
    <mergeCell ref="F326:I327"/>
    <mergeCell ref="J326:P327"/>
    <mergeCell ref="Q326:R327"/>
    <mergeCell ref="V326:W327"/>
    <mergeCell ref="X326:AD327"/>
    <mergeCell ref="AE326:AH327"/>
    <mergeCell ref="AI326:AP327"/>
    <mergeCell ref="B328:B329"/>
    <mergeCell ref="C328:E329"/>
    <mergeCell ref="F328:I329"/>
    <mergeCell ref="J328:P329"/>
    <mergeCell ref="V330:W331"/>
    <mergeCell ref="X330:AD331"/>
    <mergeCell ref="AE330:AH331"/>
    <mergeCell ref="AI330:AP331"/>
    <mergeCell ref="Q328:R329"/>
    <mergeCell ref="X328:AD329"/>
    <mergeCell ref="AE328:AH329"/>
    <mergeCell ref="D341:I341"/>
    <mergeCell ref="J341:Q341"/>
    <mergeCell ref="R341:Z341"/>
    <mergeCell ref="AA341:AC341"/>
    <mergeCell ref="C325:E325"/>
    <mergeCell ref="F325:I325"/>
    <mergeCell ref="J325:P325"/>
    <mergeCell ref="Q325:W325"/>
    <mergeCell ref="AI328:AP329"/>
    <mergeCell ref="AA342:AC342"/>
    <mergeCell ref="X332:AD333"/>
    <mergeCell ref="AE332:AH333"/>
    <mergeCell ref="AI336:AP337"/>
    <mergeCell ref="X338:AD339"/>
    <mergeCell ref="AE338:AH339"/>
    <mergeCell ref="AI338:AP339"/>
    <mergeCell ref="AE336:AH337"/>
    <mergeCell ref="V334:W335"/>
    <mergeCell ref="X334:AD335"/>
    <mergeCell ref="AE334:AH335"/>
    <mergeCell ref="AI334:AP335"/>
    <mergeCell ref="B332:B333"/>
    <mergeCell ref="C332:E333"/>
    <mergeCell ref="F332:I333"/>
    <mergeCell ref="J332:P333"/>
    <mergeCell ref="Q332:R333"/>
    <mergeCell ref="V332:W333"/>
    <mergeCell ref="AI332:AP333"/>
    <mergeCell ref="B334:B335"/>
    <mergeCell ref="C334:E335"/>
    <mergeCell ref="F334:I335"/>
    <mergeCell ref="J334:P335"/>
    <mergeCell ref="Q334:R335"/>
    <mergeCell ref="D343:I343"/>
    <mergeCell ref="J343:Q343"/>
    <mergeCell ref="R343:Z343"/>
    <mergeCell ref="AA343:AC343"/>
    <mergeCell ref="AD343:AM343"/>
    <mergeCell ref="D344:I344"/>
    <mergeCell ref="J344:Q344"/>
    <mergeCell ref="R344:Z344"/>
    <mergeCell ref="AA344:AC344"/>
    <mergeCell ref="Q336:R337"/>
    <mergeCell ref="AC347:AF347"/>
    <mergeCell ref="AG347:AL347"/>
    <mergeCell ref="AM347:AO347"/>
    <mergeCell ref="B345:AB346"/>
    <mergeCell ref="AC345:AJ346"/>
    <mergeCell ref="AD341:AM341"/>
    <mergeCell ref="D342:I342"/>
    <mergeCell ref="J342:Q342"/>
    <mergeCell ref="R342:Z342"/>
    <mergeCell ref="B338:B339"/>
    <mergeCell ref="C338:E339"/>
    <mergeCell ref="F338:I339"/>
    <mergeCell ref="J338:P339"/>
    <mergeCell ref="V336:W337"/>
    <mergeCell ref="X336:AD337"/>
    <mergeCell ref="B336:B337"/>
    <mergeCell ref="C336:E337"/>
    <mergeCell ref="F336:I337"/>
    <mergeCell ref="J336:P337"/>
    <mergeCell ref="Q338:R339"/>
    <mergeCell ref="V338:W339"/>
    <mergeCell ref="AD342:AM342"/>
    <mergeCell ref="C347:F347"/>
    <mergeCell ref="G347:O347"/>
    <mergeCell ref="P347:S347"/>
    <mergeCell ref="T347:AB347"/>
    <mergeCell ref="C349:D349"/>
    <mergeCell ref="E349:N349"/>
    <mergeCell ref="Q349:R349"/>
    <mergeCell ref="S349:AB349"/>
    <mergeCell ref="Q352:R352"/>
    <mergeCell ref="S352:AB352"/>
    <mergeCell ref="C350:D350"/>
    <mergeCell ref="E350:N350"/>
    <mergeCell ref="Q350:R350"/>
    <mergeCell ref="S350:AB350"/>
    <mergeCell ref="AE349:AF349"/>
    <mergeCell ref="AG349:AP349"/>
    <mergeCell ref="AD344:AM344"/>
    <mergeCell ref="AI359:AP360"/>
    <mergeCell ref="AI361:AP362"/>
    <mergeCell ref="AE357:AH358"/>
    <mergeCell ref="AI357:AP358"/>
    <mergeCell ref="AE359:AH360"/>
    <mergeCell ref="AE350:AF350"/>
    <mergeCell ref="AG350:AP350"/>
    <mergeCell ref="C352:D352"/>
    <mergeCell ref="E352:N352"/>
    <mergeCell ref="C351:D351"/>
    <mergeCell ref="E351:N351"/>
    <mergeCell ref="Q351:R351"/>
    <mergeCell ref="S351:AB351"/>
    <mergeCell ref="X356:AD356"/>
    <mergeCell ref="AE356:AH356"/>
    <mergeCell ref="AI356:AP356"/>
    <mergeCell ref="AE361:AH362"/>
    <mergeCell ref="C356:E356"/>
    <mergeCell ref="F356:I356"/>
    <mergeCell ref="C363:E364"/>
    <mergeCell ref="F363:I364"/>
    <mergeCell ref="J363:P364"/>
    <mergeCell ref="F367:I368"/>
    <mergeCell ref="Q367:R368"/>
    <mergeCell ref="V367:W368"/>
    <mergeCell ref="X367:AD368"/>
    <mergeCell ref="AE367:AH368"/>
    <mergeCell ref="B357:B358"/>
    <mergeCell ref="C357:E358"/>
    <mergeCell ref="F357:I358"/>
    <mergeCell ref="J357:P358"/>
    <mergeCell ref="Q357:R358"/>
    <mergeCell ref="V357:W358"/>
    <mergeCell ref="X357:AD358"/>
    <mergeCell ref="Q359:R360"/>
    <mergeCell ref="V359:W360"/>
    <mergeCell ref="V361:W362"/>
    <mergeCell ref="X361:AD362"/>
    <mergeCell ref="X359:AD360"/>
    <mergeCell ref="B359:B360"/>
    <mergeCell ref="C359:E360"/>
    <mergeCell ref="F359:I360"/>
    <mergeCell ref="J359:P360"/>
    <mergeCell ref="B361:B362"/>
    <mergeCell ref="C361:E362"/>
    <mergeCell ref="F361:I362"/>
    <mergeCell ref="J361:P362"/>
    <mergeCell ref="Q361:R362"/>
    <mergeCell ref="J373:Q373"/>
    <mergeCell ref="R373:Z373"/>
    <mergeCell ref="AI365:AP366"/>
    <mergeCell ref="AI367:AP368"/>
    <mergeCell ref="B369:B370"/>
    <mergeCell ref="C369:E370"/>
    <mergeCell ref="F369:I370"/>
    <mergeCell ref="J369:P370"/>
    <mergeCell ref="Q369:R370"/>
    <mergeCell ref="V369:W370"/>
    <mergeCell ref="B367:B368"/>
    <mergeCell ref="C367:E368"/>
    <mergeCell ref="AA373:AC373"/>
    <mergeCell ref="AD373:AM373"/>
    <mergeCell ref="D372:I372"/>
    <mergeCell ref="J356:P356"/>
    <mergeCell ref="Q356:W356"/>
    <mergeCell ref="Q363:R364"/>
    <mergeCell ref="V363:W364"/>
    <mergeCell ref="X363:AD364"/>
    <mergeCell ref="AE363:AH364"/>
    <mergeCell ref="V365:W366"/>
    <mergeCell ref="X365:AD366"/>
    <mergeCell ref="AE365:AH366"/>
    <mergeCell ref="J367:P368"/>
    <mergeCell ref="AI363:AP364"/>
    <mergeCell ref="B365:B366"/>
    <mergeCell ref="C365:E366"/>
    <mergeCell ref="F365:I366"/>
    <mergeCell ref="J365:P366"/>
    <mergeCell ref="Q365:R366"/>
    <mergeCell ref="B363:B364"/>
    <mergeCell ref="AE380:AF380"/>
    <mergeCell ref="AE382:AF382"/>
    <mergeCell ref="AG382:AP382"/>
    <mergeCell ref="C383:D383"/>
    <mergeCell ref="J374:Q374"/>
    <mergeCell ref="R374:Z374"/>
    <mergeCell ref="AA374:AC374"/>
    <mergeCell ref="AC378:AF378"/>
    <mergeCell ref="AG378:AL378"/>
    <mergeCell ref="E383:N383"/>
    <mergeCell ref="C382:D382"/>
    <mergeCell ref="E382:N382"/>
    <mergeCell ref="AI369:AP370"/>
    <mergeCell ref="J372:Q372"/>
    <mergeCell ref="R372:Z372"/>
    <mergeCell ref="AA372:AC372"/>
    <mergeCell ref="D375:I375"/>
    <mergeCell ref="J375:Q375"/>
    <mergeCell ref="R375:Z375"/>
    <mergeCell ref="AA375:AC375"/>
    <mergeCell ref="AD372:AM372"/>
    <mergeCell ref="D373:I373"/>
    <mergeCell ref="T378:AB378"/>
    <mergeCell ref="AM378:AO378"/>
    <mergeCell ref="AD374:AM374"/>
    <mergeCell ref="AD375:AM375"/>
    <mergeCell ref="C378:F378"/>
    <mergeCell ref="G378:O378"/>
    <mergeCell ref="P378:S378"/>
    <mergeCell ref="D374:I374"/>
    <mergeCell ref="X369:AD370"/>
    <mergeCell ref="AE369:AH370"/>
    <mergeCell ref="B394:B395"/>
    <mergeCell ref="F390:I391"/>
    <mergeCell ref="J390:P391"/>
    <mergeCell ref="AE388:AH389"/>
    <mergeCell ref="AG380:AP380"/>
    <mergeCell ref="X387:AD387"/>
    <mergeCell ref="AE387:AH387"/>
    <mergeCell ref="AI387:AP387"/>
    <mergeCell ref="AI396:AP397"/>
    <mergeCell ref="AI392:AP393"/>
    <mergeCell ref="Q390:R391"/>
    <mergeCell ref="V390:W391"/>
    <mergeCell ref="X390:AD391"/>
    <mergeCell ref="AE390:AH391"/>
    <mergeCell ref="C394:E395"/>
    <mergeCell ref="F394:I395"/>
    <mergeCell ref="J394:P395"/>
    <mergeCell ref="Q394:R395"/>
    <mergeCell ref="V394:W395"/>
    <mergeCell ref="AI394:AP395"/>
    <mergeCell ref="AE381:AF381"/>
    <mergeCell ref="AG381:AP381"/>
    <mergeCell ref="C381:D381"/>
    <mergeCell ref="E381:N381"/>
    <mergeCell ref="Q381:R381"/>
    <mergeCell ref="S381:AB381"/>
    <mergeCell ref="C380:D380"/>
    <mergeCell ref="E380:N380"/>
    <mergeCell ref="Q380:R380"/>
    <mergeCell ref="S380:AB380"/>
    <mergeCell ref="Q382:R382"/>
    <mergeCell ref="S382:AB382"/>
    <mergeCell ref="Q387:W387"/>
    <mergeCell ref="AI390:AP391"/>
    <mergeCell ref="B392:B393"/>
    <mergeCell ref="C392:E393"/>
    <mergeCell ref="F392:I393"/>
    <mergeCell ref="J392:P393"/>
    <mergeCell ref="Q392:R393"/>
    <mergeCell ref="V392:W393"/>
    <mergeCell ref="X392:AD393"/>
    <mergeCell ref="AE392:AH393"/>
    <mergeCell ref="X388:AD389"/>
    <mergeCell ref="B398:B399"/>
    <mergeCell ref="C398:E399"/>
    <mergeCell ref="F398:I399"/>
    <mergeCell ref="J398:P399"/>
    <mergeCell ref="Q398:R399"/>
    <mergeCell ref="AE400:AH401"/>
    <mergeCell ref="B390:B391"/>
    <mergeCell ref="C390:E391"/>
    <mergeCell ref="B400:B401"/>
    <mergeCell ref="C400:E401"/>
    <mergeCell ref="AI388:AP389"/>
    <mergeCell ref="C387:E387"/>
    <mergeCell ref="F387:I387"/>
    <mergeCell ref="B388:B389"/>
    <mergeCell ref="C388:E389"/>
    <mergeCell ref="F388:I389"/>
    <mergeCell ref="J388:P389"/>
    <mergeCell ref="Q388:R389"/>
    <mergeCell ref="V388:W389"/>
    <mergeCell ref="Q396:R397"/>
    <mergeCell ref="V396:W397"/>
    <mergeCell ref="V398:W399"/>
    <mergeCell ref="X398:AD399"/>
    <mergeCell ref="AE398:AH399"/>
    <mergeCell ref="C411:D411"/>
    <mergeCell ref="E411:N411"/>
    <mergeCell ref="Q411:R411"/>
    <mergeCell ref="S411:AB411"/>
    <mergeCell ref="AD404:AM404"/>
    <mergeCell ref="D403:I403"/>
    <mergeCell ref="J403:Q403"/>
    <mergeCell ref="R403:Z403"/>
    <mergeCell ref="AA403:AC403"/>
    <mergeCell ref="X400:AD401"/>
    <mergeCell ref="AI400:AP401"/>
    <mergeCell ref="B396:B397"/>
    <mergeCell ref="C396:E397"/>
    <mergeCell ref="F396:I397"/>
    <mergeCell ref="J396:P397"/>
    <mergeCell ref="D404:I404"/>
    <mergeCell ref="J404:Q404"/>
    <mergeCell ref="R404:Z404"/>
    <mergeCell ref="AA404:AC404"/>
    <mergeCell ref="X396:AD397"/>
    <mergeCell ref="AE396:AH397"/>
    <mergeCell ref="J387:P387"/>
    <mergeCell ref="F400:I401"/>
    <mergeCell ref="J400:P401"/>
    <mergeCell ref="X394:AD395"/>
    <mergeCell ref="AE394:AH395"/>
    <mergeCell ref="Q400:R401"/>
    <mergeCell ref="V400:W401"/>
    <mergeCell ref="X418:AD418"/>
    <mergeCell ref="AE418:AH418"/>
    <mergeCell ref="AE412:AF412"/>
    <mergeCell ref="AG412:AP412"/>
    <mergeCell ref="C414:D414"/>
    <mergeCell ref="E414:N414"/>
    <mergeCell ref="AA405:AC405"/>
    <mergeCell ref="Q414:R414"/>
    <mergeCell ref="S414:AB414"/>
    <mergeCell ref="C412:D412"/>
    <mergeCell ref="E412:N412"/>
    <mergeCell ref="Q412:R412"/>
    <mergeCell ref="S412:AB412"/>
    <mergeCell ref="AE411:AF411"/>
    <mergeCell ref="AG411:AP411"/>
    <mergeCell ref="C409:F409"/>
    <mergeCell ref="AM409:AO409"/>
    <mergeCell ref="B407:AB408"/>
    <mergeCell ref="AC407:AJ408"/>
    <mergeCell ref="C413:D413"/>
    <mergeCell ref="E413:N413"/>
    <mergeCell ref="Q413:R413"/>
    <mergeCell ref="S413:AB413"/>
    <mergeCell ref="C418:E418"/>
    <mergeCell ref="F418:I418"/>
    <mergeCell ref="J418:P418"/>
    <mergeCell ref="Q418:W418"/>
    <mergeCell ref="AI418:AP418"/>
    <mergeCell ref="D405:I405"/>
    <mergeCell ref="J405:Q405"/>
    <mergeCell ref="R405:Z405"/>
    <mergeCell ref="D406:I406"/>
    <mergeCell ref="B419:B420"/>
    <mergeCell ref="C419:E420"/>
    <mergeCell ref="F419:I420"/>
    <mergeCell ref="J419:P420"/>
    <mergeCell ref="Q419:R420"/>
    <mergeCell ref="V419:W420"/>
    <mergeCell ref="X419:AD420"/>
    <mergeCell ref="AE419:AH420"/>
    <mergeCell ref="AI419:AP420"/>
    <mergeCell ref="Q421:R422"/>
    <mergeCell ref="V421:W422"/>
    <mergeCell ref="J406:Q406"/>
    <mergeCell ref="R406:Z406"/>
    <mergeCell ref="AA406:AC406"/>
    <mergeCell ref="AC409:AF409"/>
    <mergeCell ref="AG409:AL409"/>
    <mergeCell ref="G409:O409"/>
    <mergeCell ref="P409:S409"/>
    <mergeCell ref="T409:AB409"/>
    <mergeCell ref="AE413:AF413"/>
    <mergeCell ref="AG413:AP413"/>
    <mergeCell ref="AE414:AF414"/>
    <mergeCell ref="AG414:AP414"/>
    <mergeCell ref="AE415:AF415"/>
    <mergeCell ref="AG415:AP415"/>
    <mergeCell ref="V423:W424"/>
    <mergeCell ref="X423:AD424"/>
    <mergeCell ref="X421:AD422"/>
    <mergeCell ref="B421:B422"/>
    <mergeCell ref="C421:E422"/>
    <mergeCell ref="F421:I422"/>
    <mergeCell ref="J421:P422"/>
    <mergeCell ref="B429:B430"/>
    <mergeCell ref="C429:E430"/>
    <mergeCell ref="AA435:AC435"/>
    <mergeCell ref="AD435:AM435"/>
    <mergeCell ref="J425:P426"/>
    <mergeCell ref="AI431:AP432"/>
    <mergeCell ref="J434:Q434"/>
    <mergeCell ref="R434:Z434"/>
    <mergeCell ref="AI421:AP422"/>
    <mergeCell ref="B423:B424"/>
    <mergeCell ref="C423:E424"/>
    <mergeCell ref="F423:I424"/>
    <mergeCell ref="J423:P424"/>
    <mergeCell ref="Q423:R424"/>
    <mergeCell ref="AE423:AH424"/>
    <mergeCell ref="AI423:AP424"/>
    <mergeCell ref="AE421:AH422"/>
    <mergeCell ref="Q425:R426"/>
    <mergeCell ref="V425:W426"/>
    <mergeCell ref="X425:AD426"/>
    <mergeCell ref="AE425:AH426"/>
    <mergeCell ref="V427:W428"/>
    <mergeCell ref="X427:AD428"/>
    <mergeCell ref="AE427:AH428"/>
    <mergeCell ref="J429:P430"/>
    <mergeCell ref="AI425:AP426"/>
    <mergeCell ref="AI427:AP428"/>
    <mergeCell ref="AI429:AP430"/>
    <mergeCell ref="Q445:R445"/>
    <mergeCell ref="AM440:AO440"/>
    <mergeCell ref="AD436:AM436"/>
    <mergeCell ref="AD437:AM437"/>
    <mergeCell ref="B427:B428"/>
    <mergeCell ref="C427:E428"/>
    <mergeCell ref="F427:I428"/>
    <mergeCell ref="J427:P428"/>
    <mergeCell ref="Q427:R428"/>
    <mergeCell ref="B425:B426"/>
    <mergeCell ref="C425:E426"/>
    <mergeCell ref="F425:I426"/>
    <mergeCell ref="F429:I430"/>
    <mergeCell ref="Q429:R430"/>
    <mergeCell ref="V429:W430"/>
    <mergeCell ref="X429:AD430"/>
    <mergeCell ref="AE429:AH430"/>
    <mergeCell ref="D436:I436"/>
    <mergeCell ref="X431:AD432"/>
    <mergeCell ref="AE431:AH432"/>
    <mergeCell ref="J435:Q435"/>
    <mergeCell ref="R435:Z435"/>
    <mergeCell ref="B431:B432"/>
    <mergeCell ref="C431:E432"/>
    <mergeCell ref="F431:I432"/>
    <mergeCell ref="J431:P432"/>
    <mergeCell ref="Q431:R432"/>
    <mergeCell ref="V431:W432"/>
    <mergeCell ref="AE444:AF444"/>
    <mergeCell ref="C443:D443"/>
    <mergeCell ref="E443:N443"/>
    <mergeCell ref="Q443:R443"/>
    <mergeCell ref="S443:AB443"/>
    <mergeCell ref="C440:F440"/>
    <mergeCell ref="G440:O440"/>
    <mergeCell ref="P440:S440"/>
    <mergeCell ref="F452:I453"/>
    <mergeCell ref="J452:P453"/>
    <mergeCell ref="Q449:W449"/>
    <mergeCell ref="AI452:AP453"/>
    <mergeCell ref="D434:I434"/>
    <mergeCell ref="AE442:AF442"/>
    <mergeCell ref="AG442:AP442"/>
    <mergeCell ref="J436:Q436"/>
    <mergeCell ref="R436:Z436"/>
    <mergeCell ref="AA436:AC436"/>
    <mergeCell ref="AC440:AF440"/>
    <mergeCell ref="AG440:AL440"/>
    <mergeCell ref="AA434:AC434"/>
    <mergeCell ref="D437:I437"/>
    <mergeCell ref="J437:Q437"/>
    <mergeCell ref="R437:Z437"/>
    <mergeCell ref="AA437:AC437"/>
    <mergeCell ref="AD434:AM434"/>
    <mergeCell ref="D435:I435"/>
    <mergeCell ref="T440:AB440"/>
    <mergeCell ref="C442:D442"/>
    <mergeCell ref="E442:N442"/>
    <mergeCell ref="Q442:R442"/>
    <mergeCell ref="S442:AB442"/>
    <mergeCell ref="AG444:AP444"/>
    <mergeCell ref="B454:B455"/>
    <mergeCell ref="C454:E455"/>
    <mergeCell ref="F454:I455"/>
    <mergeCell ref="J454:P455"/>
    <mergeCell ref="Q454:R455"/>
    <mergeCell ref="V454:W455"/>
    <mergeCell ref="X454:AD455"/>
    <mergeCell ref="AE454:AH455"/>
    <mergeCell ref="X450:AD451"/>
    <mergeCell ref="AE443:AF443"/>
    <mergeCell ref="AG443:AP443"/>
    <mergeCell ref="C445:D445"/>
    <mergeCell ref="E445:N445"/>
    <mergeCell ref="C444:D444"/>
    <mergeCell ref="E444:N444"/>
    <mergeCell ref="C449:E449"/>
    <mergeCell ref="F449:I449"/>
    <mergeCell ref="J449:P449"/>
    <mergeCell ref="X449:AD449"/>
    <mergeCell ref="AE449:AH449"/>
    <mergeCell ref="AI449:AP449"/>
    <mergeCell ref="B450:B451"/>
    <mergeCell ref="C450:E451"/>
    <mergeCell ref="F450:I451"/>
    <mergeCell ref="J450:P451"/>
    <mergeCell ref="Q450:R451"/>
    <mergeCell ref="AE450:AH451"/>
    <mergeCell ref="AI450:AP451"/>
    <mergeCell ref="Q444:R444"/>
    <mergeCell ref="S444:AB444"/>
    <mergeCell ref="AE445:AF445"/>
    <mergeCell ref="AG445:AP445"/>
    <mergeCell ref="F460:I461"/>
    <mergeCell ref="J460:P461"/>
    <mergeCell ref="Q460:R461"/>
    <mergeCell ref="V460:W461"/>
    <mergeCell ref="X460:AD461"/>
    <mergeCell ref="AE460:AH461"/>
    <mergeCell ref="X456:AD457"/>
    <mergeCell ref="AE456:AH457"/>
    <mergeCell ref="AI460:AP461"/>
    <mergeCell ref="B462:B463"/>
    <mergeCell ref="C462:E463"/>
    <mergeCell ref="F462:I463"/>
    <mergeCell ref="J462:P463"/>
    <mergeCell ref="Q462:R463"/>
    <mergeCell ref="V462:W463"/>
    <mergeCell ref="X462:AD463"/>
    <mergeCell ref="B456:B457"/>
    <mergeCell ref="C456:E457"/>
    <mergeCell ref="F456:I457"/>
    <mergeCell ref="J456:P457"/>
    <mergeCell ref="Q456:R457"/>
    <mergeCell ref="V456:W457"/>
    <mergeCell ref="AI456:AP457"/>
    <mergeCell ref="B458:B459"/>
    <mergeCell ref="C458:E459"/>
    <mergeCell ref="F458:I459"/>
    <mergeCell ref="J458:P459"/>
    <mergeCell ref="Q458:R459"/>
    <mergeCell ref="V458:W459"/>
    <mergeCell ref="X458:AD459"/>
    <mergeCell ref="AE462:AH463"/>
    <mergeCell ref="AI462:AP463"/>
    <mergeCell ref="AD465:AM465"/>
    <mergeCell ref="D466:I466"/>
    <mergeCell ref="J466:Q466"/>
    <mergeCell ref="R466:Z466"/>
    <mergeCell ref="AA466:AC466"/>
    <mergeCell ref="AD466:AM466"/>
    <mergeCell ref="D465:I465"/>
    <mergeCell ref="J465:Q465"/>
    <mergeCell ref="R465:Z465"/>
    <mergeCell ref="AA465:AC465"/>
    <mergeCell ref="AD467:AM467"/>
    <mergeCell ref="D468:I468"/>
    <mergeCell ref="J468:Q468"/>
    <mergeCell ref="R468:Z468"/>
    <mergeCell ref="AA468:AC468"/>
    <mergeCell ref="AD468:AM468"/>
    <mergeCell ref="D467:I467"/>
    <mergeCell ref="J467:Q467"/>
    <mergeCell ref="R467:Z467"/>
    <mergeCell ref="AA467:AC467"/>
    <mergeCell ref="AG37:AP37"/>
    <mergeCell ref="AM35:AO35"/>
    <mergeCell ref="AE458:AH459"/>
    <mergeCell ref="AI458:AP459"/>
    <mergeCell ref="AI454:AP455"/>
    <mergeCell ref="Q452:R453"/>
    <mergeCell ref="V452:W453"/>
    <mergeCell ref="X452:AD453"/>
    <mergeCell ref="AE452:AH453"/>
    <mergeCell ref="S445:AB445"/>
    <mergeCell ref="V450:W451"/>
    <mergeCell ref="R312:Z312"/>
    <mergeCell ref="B314:AB315"/>
    <mergeCell ref="AP283:AQ284"/>
    <mergeCell ref="B376:AB377"/>
    <mergeCell ref="AC376:AJ377"/>
    <mergeCell ref="AK376:AO377"/>
    <mergeCell ref="AP376:AQ377"/>
    <mergeCell ref="B438:AB439"/>
    <mergeCell ref="AC438:AJ439"/>
    <mergeCell ref="AK438:AO439"/>
    <mergeCell ref="AP438:AQ439"/>
    <mergeCell ref="AK407:AO408"/>
    <mergeCell ref="AP407:AQ408"/>
    <mergeCell ref="AD406:AM406"/>
    <mergeCell ref="AD403:AM403"/>
    <mergeCell ref="AD405:AM405"/>
    <mergeCell ref="AI398:AP399"/>
    <mergeCell ref="AP314:AQ315"/>
    <mergeCell ref="J312:Q312"/>
    <mergeCell ref="B452:B453"/>
    <mergeCell ref="C452:E453"/>
    <mergeCell ref="AE49:AH50"/>
    <mergeCell ref="AG38:AP38"/>
    <mergeCell ref="B460:B461"/>
    <mergeCell ref="C460:E461"/>
    <mergeCell ref="AP158:AQ159"/>
    <mergeCell ref="AD156:AM156"/>
    <mergeCell ref="AP189:AQ190"/>
    <mergeCell ref="B220:AB221"/>
    <mergeCell ref="AC220:AJ221"/>
    <mergeCell ref="AK220:AO221"/>
    <mergeCell ref="AP220:AQ221"/>
    <mergeCell ref="J218:Q218"/>
    <mergeCell ref="R218:Z218"/>
    <mergeCell ref="AA218:AC218"/>
    <mergeCell ref="AD216:AM216"/>
    <mergeCell ref="B1:AB2"/>
    <mergeCell ref="AC1:AJ2"/>
    <mergeCell ref="AK1:AO2"/>
    <mergeCell ref="AP1:AQ2"/>
    <mergeCell ref="AK345:AO346"/>
    <mergeCell ref="AP345:AQ346"/>
    <mergeCell ref="AK95:AO96"/>
    <mergeCell ref="AA312:AC312"/>
    <mergeCell ref="AK189:AO190"/>
    <mergeCell ref="R310:Z310"/>
    <mergeCell ref="AA310:AC310"/>
    <mergeCell ref="D313:I313"/>
    <mergeCell ref="J313:Q313"/>
    <mergeCell ref="AK283:AO284"/>
    <mergeCell ref="AK32:AO33"/>
    <mergeCell ref="AP32:AQ33"/>
    <mergeCell ref="AG35:AL35"/>
  </mergeCells>
  <phoneticPr fontId="25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7" pageOrder="overThenDown" orientation="landscape" horizontalDpi="300" verticalDpi="300" r:id="rId1"/>
  <headerFooter>
    <oddFooter>&amp;RVer. 4.20.2</oddFooter>
  </headerFooter>
  <rowBreaks count="14" manualBreakCount="14">
    <brk id="31" max="42" man="1"/>
    <brk id="63" max="42" man="1"/>
    <brk id="94" max="42" man="1"/>
    <brk id="125" max="42" man="1"/>
    <brk id="157" max="42" man="1"/>
    <brk id="188" max="42" man="1"/>
    <brk id="219" max="42" man="1"/>
    <brk id="251" max="42" man="1"/>
    <brk id="282" max="42" man="1"/>
    <brk id="313" max="42" man="1"/>
    <brk id="344" max="42" man="1"/>
    <brk id="375" max="42" man="1"/>
    <brk id="406" max="42" man="1"/>
    <brk id="437" max="4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T370"/>
  <sheetViews>
    <sheetView zoomScaleNormal="100" zoomScaleSheetLayoutView="90" workbookViewId="0">
      <pane xSplit="48" ySplit="2" topLeftCell="AW3" activePane="bottomRight" state="frozen"/>
      <selection pane="topRight" activeCell="AW1" sqref="AW1"/>
      <selection pane="bottomLeft" activeCell="A3" sqref="A3"/>
      <selection pane="bottomRight" activeCell="AW3" sqref="AW3"/>
    </sheetView>
  </sheetViews>
  <sheetFormatPr defaultRowHeight="27" customHeight="1" x14ac:dyDescent="0.4"/>
  <cols>
    <col min="1" max="1" width="3.125" style="96" customWidth="1"/>
    <col min="2" max="2" width="5" style="96" customWidth="1"/>
    <col min="3" max="4" width="3.125" style="96" customWidth="1"/>
    <col min="5" max="5" width="4.5" style="96" customWidth="1"/>
    <col min="6" max="18" width="3.125" style="96" customWidth="1"/>
    <col min="19" max="19" width="4.125" style="96" customWidth="1"/>
    <col min="20" max="20" width="3.125" style="96" customWidth="1"/>
    <col min="21" max="21" width="4" style="96" customWidth="1"/>
    <col min="22" max="43" width="3.125" style="96" customWidth="1"/>
    <col min="44" max="44" width="9.125" style="96" hidden="1" customWidth="1"/>
    <col min="45" max="45" width="7.5" style="96" hidden="1" customWidth="1"/>
    <col min="46" max="46" width="9" style="96" hidden="1" customWidth="1"/>
    <col min="47" max="48" width="0" style="96" hidden="1" customWidth="1"/>
    <col min="49" max="16384" width="9" style="96"/>
  </cols>
  <sheetData>
    <row r="1" spans="1:45" ht="27" customHeight="1" x14ac:dyDescent="0.4">
      <c r="A1" s="115"/>
      <c r="B1" s="599" t="str">
        <f>U12組合せ!$B$1</f>
        <v>ＪＦＡ　Ｕ-１２サッカーリーグ2021（in栃木） 宇都宮地区リーグ戦（前期）</v>
      </c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599"/>
      <c r="AA1" s="599"/>
      <c r="AB1" s="599"/>
      <c r="AC1" s="612" t="str">
        <f>"【"&amp;(U12組合せ!$F$3)&amp;"】"</f>
        <v>【Ｂ ブロック】</v>
      </c>
      <c r="AD1" s="612"/>
      <c r="AE1" s="612"/>
      <c r="AF1" s="612"/>
      <c r="AG1" s="612"/>
      <c r="AH1" s="612"/>
      <c r="AI1" s="612"/>
      <c r="AJ1" s="612"/>
      <c r="AK1" s="602" t="str">
        <f>"第"&amp;(U12組合せ!$D$21)</f>
        <v>第１節</v>
      </c>
      <c r="AL1" s="602"/>
      <c r="AM1" s="602"/>
      <c r="AN1" s="602"/>
      <c r="AO1" s="602"/>
      <c r="AP1" s="597" t="s">
        <v>299</v>
      </c>
      <c r="AQ1" s="598"/>
    </row>
    <row r="2" spans="1:45" ht="27" customHeight="1" x14ac:dyDescent="0.4">
      <c r="A2" s="115"/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601"/>
      <c r="AD2" s="601"/>
      <c r="AE2" s="601"/>
      <c r="AF2" s="601"/>
      <c r="AG2" s="601"/>
      <c r="AH2" s="601"/>
      <c r="AI2" s="601"/>
      <c r="AJ2" s="601"/>
      <c r="AK2" s="601"/>
      <c r="AL2" s="601"/>
      <c r="AM2" s="601"/>
      <c r="AN2" s="601"/>
      <c r="AO2" s="612"/>
      <c r="AP2" s="598"/>
      <c r="AQ2" s="598"/>
    </row>
    <row r="3" spans="1:45" ht="27" customHeight="1" x14ac:dyDescent="0.4">
      <c r="C3" s="635" t="s">
        <v>1</v>
      </c>
      <c r="D3" s="635"/>
      <c r="E3" s="635"/>
      <c r="F3" s="635"/>
      <c r="G3" s="725" t="str">
        <f>U12組合せ!G21</f>
        <v>姿川　第一小</v>
      </c>
      <c r="H3" s="726"/>
      <c r="I3" s="726"/>
      <c r="J3" s="726"/>
      <c r="K3" s="726"/>
      <c r="L3" s="726"/>
      <c r="M3" s="726"/>
      <c r="N3" s="726"/>
      <c r="O3" s="727"/>
      <c r="P3" s="635" t="s">
        <v>0</v>
      </c>
      <c r="Q3" s="635"/>
      <c r="R3" s="635"/>
      <c r="S3" s="635"/>
      <c r="T3" s="636" t="str">
        <f>E6</f>
        <v>ウエストフットコム</v>
      </c>
      <c r="U3" s="636"/>
      <c r="V3" s="636"/>
      <c r="W3" s="636"/>
      <c r="X3" s="636"/>
      <c r="Y3" s="636"/>
      <c r="Z3" s="636"/>
      <c r="AA3" s="636"/>
      <c r="AB3" s="636"/>
      <c r="AC3" s="635" t="s">
        <v>2</v>
      </c>
      <c r="AD3" s="635"/>
      <c r="AE3" s="635"/>
      <c r="AF3" s="635"/>
      <c r="AG3" s="618">
        <f>U12対戦スケジュール!F3</f>
        <v>44296</v>
      </c>
      <c r="AH3" s="619"/>
      <c r="AI3" s="619"/>
      <c r="AJ3" s="619"/>
      <c r="AK3" s="619"/>
      <c r="AL3" s="619"/>
      <c r="AM3" s="620" t="str">
        <f>"（"&amp;TEXT(AG3,"aaa")&amp;"）"</f>
        <v>（土）</v>
      </c>
      <c r="AN3" s="620"/>
      <c r="AO3" s="621"/>
      <c r="AP3" s="116"/>
    </row>
    <row r="4" spans="1:45" ht="27" customHeight="1" x14ac:dyDescent="0.4">
      <c r="C4" s="96" t="str">
        <f>U12組合せ!G22</f>
        <v>B123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95"/>
      <c r="X4" s="95"/>
      <c r="Y4" s="95"/>
      <c r="Z4" s="95"/>
      <c r="AA4" s="95"/>
      <c r="AB4" s="95"/>
      <c r="AC4" s="95"/>
    </row>
    <row r="5" spans="1:45" ht="27" customHeight="1" x14ac:dyDescent="0.4">
      <c r="C5" s="636">
        <v>1</v>
      </c>
      <c r="D5" s="636"/>
      <c r="E5" s="709" t="str">
        <f>VLOOKUP(C5,U12組合せ!B$10:K$19,5,TRUE)</f>
        <v>スポルト宇都宮U12</v>
      </c>
      <c r="F5" s="709"/>
      <c r="G5" s="709"/>
      <c r="H5" s="709"/>
      <c r="I5" s="709"/>
      <c r="J5" s="709"/>
      <c r="K5" s="709"/>
      <c r="L5" s="709"/>
      <c r="M5" s="709"/>
      <c r="N5" s="709"/>
      <c r="O5" s="94"/>
      <c r="P5" s="94"/>
      <c r="Q5" s="637">
        <v>4</v>
      </c>
      <c r="R5" s="637"/>
      <c r="S5" s="584" t="str">
        <f>VLOOKUP(Q5,U12組合せ!B$10:K$19,5,TRUE)</f>
        <v>昭和・戸祭SC</v>
      </c>
      <c r="T5" s="584"/>
      <c r="U5" s="584"/>
      <c r="V5" s="584"/>
      <c r="W5" s="584"/>
      <c r="X5" s="584"/>
      <c r="Y5" s="584"/>
      <c r="Z5" s="584"/>
      <c r="AA5" s="584"/>
      <c r="AB5" s="584"/>
      <c r="AC5" s="92"/>
      <c r="AD5" s="93"/>
      <c r="AE5" s="637">
        <v>7</v>
      </c>
      <c r="AF5" s="637"/>
      <c r="AG5" s="584" t="str">
        <f>VLOOKUP(AE5,U12組合せ!B$10:K$19,5,TRUE)</f>
        <v>上三川SC</v>
      </c>
      <c r="AH5" s="584"/>
      <c r="AI5" s="584"/>
      <c r="AJ5" s="584"/>
      <c r="AK5" s="584"/>
      <c r="AL5" s="584"/>
      <c r="AM5" s="584"/>
      <c r="AN5" s="584"/>
      <c r="AO5" s="584"/>
      <c r="AP5" s="584"/>
    </row>
    <row r="6" spans="1:45" ht="27" customHeight="1" x14ac:dyDescent="0.4">
      <c r="C6" s="636">
        <v>2</v>
      </c>
      <c r="D6" s="636"/>
      <c r="E6" s="709" t="str">
        <f>VLOOKUP(C6,U12組合せ!B$10:K$19,5,TRUE)</f>
        <v>ウエストフットコム</v>
      </c>
      <c r="F6" s="709"/>
      <c r="G6" s="709"/>
      <c r="H6" s="709"/>
      <c r="I6" s="709"/>
      <c r="J6" s="709"/>
      <c r="K6" s="709"/>
      <c r="L6" s="709"/>
      <c r="M6" s="709"/>
      <c r="N6" s="709"/>
      <c r="O6" s="94"/>
      <c r="P6" s="94"/>
      <c r="Q6" s="637">
        <v>5</v>
      </c>
      <c r="R6" s="637"/>
      <c r="S6" s="584" t="str">
        <f>VLOOKUP(Q6,U12組合せ!B$10:K$19,5,TRUE)</f>
        <v>岡西FC</v>
      </c>
      <c r="T6" s="584"/>
      <c r="U6" s="584"/>
      <c r="V6" s="584"/>
      <c r="W6" s="584"/>
      <c r="X6" s="584"/>
      <c r="Y6" s="584"/>
      <c r="Z6" s="584"/>
      <c r="AA6" s="584"/>
      <c r="AB6" s="584"/>
      <c r="AC6" s="92"/>
      <c r="AD6" s="93"/>
      <c r="AE6" s="637">
        <v>8</v>
      </c>
      <c r="AF6" s="637"/>
      <c r="AG6" s="584" t="str">
        <f>VLOOKUP(AE6,U12組合せ!B$10:'U12組合せ'!K$19,5,TRUE)</f>
        <v>宇都宮FCジュニア</v>
      </c>
      <c r="AH6" s="584"/>
      <c r="AI6" s="584"/>
      <c r="AJ6" s="584"/>
      <c r="AK6" s="584"/>
      <c r="AL6" s="584"/>
      <c r="AM6" s="584"/>
      <c r="AN6" s="584"/>
      <c r="AO6" s="584"/>
      <c r="AP6" s="584"/>
    </row>
    <row r="7" spans="1:45" ht="27" customHeight="1" x14ac:dyDescent="0.4">
      <c r="C7" s="636">
        <v>3</v>
      </c>
      <c r="D7" s="636"/>
      <c r="E7" s="709" t="str">
        <f>VLOOKUP(C7,U12組合せ!B$10:K$19,5,TRUE)</f>
        <v>緑ヶ丘ＹＦＣ</v>
      </c>
      <c r="F7" s="709"/>
      <c r="G7" s="709"/>
      <c r="H7" s="709"/>
      <c r="I7" s="709"/>
      <c r="J7" s="709"/>
      <c r="K7" s="709"/>
      <c r="L7" s="709"/>
      <c r="M7" s="709"/>
      <c r="N7" s="709"/>
      <c r="O7" s="94"/>
      <c r="P7" s="94"/>
      <c r="Q7" s="637">
        <v>6</v>
      </c>
      <c r="R7" s="637"/>
      <c r="S7" s="584" t="str">
        <f>VLOOKUP(Q7,U12組合せ!B$10:K$19,5,TRUE)</f>
        <v>FCグラシアス</v>
      </c>
      <c r="T7" s="584"/>
      <c r="U7" s="584"/>
      <c r="V7" s="584"/>
      <c r="W7" s="584"/>
      <c r="X7" s="584"/>
      <c r="Y7" s="584"/>
      <c r="Z7" s="584"/>
      <c r="AA7" s="584"/>
      <c r="AB7" s="584"/>
      <c r="AC7" s="92"/>
      <c r="AD7" s="93"/>
      <c r="AE7" s="637">
        <v>9</v>
      </c>
      <c r="AF7" s="637"/>
      <c r="AG7" s="584" t="str">
        <f>VLOOKUP(AE7,U12組合せ!B$10:'U12組合せ'!K$19,5,TRUE)</f>
        <v>サウス宇都宮SC</v>
      </c>
      <c r="AH7" s="584"/>
      <c r="AI7" s="584"/>
      <c r="AJ7" s="584"/>
      <c r="AK7" s="584"/>
      <c r="AL7" s="584"/>
      <c r="AM7" s="584"/>
      <c r="AN7" s="584"/>
      <c r="AO7" s="584"/>
      <c r="AP7" s="584"/>
    </row>
    <row r="8" spans="1:45" ht="12" customHeight="1" x14ac:dyDescent="0.4">
      <c r="B8" s="102"/>
      <c r="O8" s="102"/>
      <c r="P8" s="102"/>
      <c r="AC8" s="95"/>
      <c r="AD8" s="102"/>
      <c r="AE8" s="102"/>
      <c r="AF8" s="102"/>
      <c r="AG8" s="102"/>
    </row>
    <row r="9" spans="1:45" ht="12" customHeight="1" x14ac:dyDescent="0.4">
      <c r="O9" s="102"/>
      <c r="P9" s="102"/>
      <c r="AC9" s="95"/>
    </row>
    <row r="10" spans="1:45" ht="12" customHeight="1" x14ac:dyDescent="0.4">
      <c r="C10" s="117"/>
      <c r="D10" s="118"/>
      <c r="E10" s="118"/>
      <c r="F10" s="118"/>
      <c r="G10" s="118"/>
      <c r="H10" s="118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18"/>
      <c r="U10" s="102"/>
      <c r="V10" s="118"/>
      <c r="W10" s="102"/>
      <c r="X10" s="118"/>
      <c r="Y10" s="102"/>
      <c r="Z10" s="118"/>
      <c r="AA10" s="102"/>
      <c r="AB10" s="118"/>
      <c r="AC10" s="118"/>
    </row>
    <row r="11" spans="1:45" ht="27" customHeight="1" x14ac:dyDescent="0.4">
      <c r="B11" s="96" t="s">
        <v>241</v>
      </c>
    </row>
    <row r="12" spans="1:45" ht="27" customHeight="1" x14ac:dyDescent="0.4">
      <c r="B12" s="97"/>
      <c r="C12" s="711" t="s">
        <v>3</v>
      </c>
      <c r="D12" s="711"/>
      <c r="E12" s="711"/>
      <c r="F12" s="712" t="s">
        <v>4</v>
      </c>
      <c r="G12" s="712"/>
      <c r="H12" s="712"/>
      <c r="I12" s="712"/>
      <c r="J12" s="711" t="s">
        <v>5</v>
      </c>
      <c r="K12" s="713"/>
      <c r="L12" s="713"/>
      <c r="M12" s="713"/>
      <c r="N12" s="713"/>
      <c r="O12" s="713"/>
      <c r="P12" s="713"/>
      <c r="Q12" s="711" t="s">
        <v>32</v>
      </c>
      <c r="R12" s="711"/>
      <c r="S12" s="711"/>
      <c r="T12" s="711"/>
      <c r="U12" s="711"/>
      <c r="V12" s="711"/>
      <c r="W12" s="711"/>
      <c r="X12" s="711" t="s">
        <v>5</v>
      </c>
      <c r="Y12" s="713"/>
      <c r="Z12" s="713"/>
      <c r="AA12" s="713"/>
      <c r="AB12" s="713"/>
      <c r="AC12" s="713"/>
      <c r="AD12" s="713"/>
      <c r="AE12" s="712" t="s">
        <v>4</v>
      </c>
      <c r="AF12" s="712"/>
      <c r="AG12" s="712"/>
      <c r="AH12" s="712"/>
      <c r="AI12" s="711" t="s">
        <v>6</v>
      </c>
      <c r="AJ12" s="711"/>
      <c r="AK12" s="713"/>
      <c r="AL12" s="713"/>
      <c r="AM12" s="713"/>
      <c r="AN12" s="713"/>
      <c r="AO12" s="713"/>
      <c r="AP12" s="713"/>
    </row>
    <row r="13" spans="1:45" ht="27" customHeight="1" x14ac:dyDescent="0.4">
      <c r="B13" s="644" t="str">
        <f ca="1">DBCS(INDIRECT("U12対戦スケジュール!ｇ"&amp;(ROW()-1)/2+2))</f>
        <v>①</v>
      </c>
      <c r="C13" s="645">
        <f ca="1">INDIRECT("U12対戦スケジュール!ｈ"&amp;(ROW()-1)/2+2)</f>
        <v>0.375</v>
      </c>
      <c r="D13" s="646"/>
      <c r="E13" s="647"/>
      <c r="F13" s="583"/>
      <c r="G13" s="583"/>
      <c r="H13" s="583"/>
      <c r="I13" s="583"/>
      <c r="J13" s="746" t="str">
        <f>VLOOKUP(AR13,U12組合せ!B$10:K$19,5,TRUE)</f>
        <v>スポルト宇都宮U12</v>
      </c>
      <c r="K13" s="747"/>
      <c r="L13" s="747"/>
      <c r="M13" s="747"/>
      <c r="N13" s="747"/>
      <c r="O13" s="747"/>
      <c r="P13" s="747"/>
      <c r="Q13" s="635">
        <f>IF(OR(S13="",S14=""),"",S13+S14)</f>
        <v>0</v>
      </c>
      <c r="R13" s="635"/>
      <c r="S13" s="98">
        <v>0</v>
      </c>
      <c r="T13" s="99" t="s">
        <v>7</v>
      </c>
      <c r="U13" s="98">
        <v>1</v>
      </c>
      <c r="V13" s="635">
        <f>IF(OR(U13="",U14=""),"",U13+U14)</f>
        <v>4</v>
      </c>
      <c r="W13" s="635"/>
      <c r="X13" s="746" t="str">
        <f>VLOOKUP(AS13,U12組合せ!B$10:K$19,5,TRUE)</f>
        <v>ウエストフットコム</v>
      </c>
      <c r="Y13" s="747"/>
      <c r="Z13" s="747"/>
      <c r="AA13" s="747"/>
      <c r="AB13" s="747"/>
      <c r="AC13" s="747"/>
      <c r="AD13" s="747"/>
      <c r="AE13" s="583"/>
      <c r="AF13" s="583"/>
      <c r="AG13" s="583"/>
      <c r="AH13" s="583"/>
      <c r="AI13" s="634" t="str">
        <f ca="1">DBCS(INDIRECT("U12対戦スケジュール!L"&amp;(ROW()-1)/2+2))</f>
        <v>３／１／２／３</v>
      </c>
      <c r="AJ13" s="583"/>
      <c r="AK13" s="583"/>
      <c r="AL13" s="583"/>
      <c r="AM13" s="583"/>
      <c r="AN13" s="583"/>
      <c r="AO13" s="583"/>
      <c r="AP13" s="583"/>
      <c r="AR13" s="119">
        <v>1</v>
      </c>
      <c r="AS13" s="119">
        <v>2</v>
      </c>
    </row>
    <row r="14" spans="1:45" ht="27" customHeight="1" x14ac:dyDescent="0.4">
      <c r="B14" s="644"/>
      <c r="C14" s="648"/>
      <c r="D14" s="649"/>
      <c r="E14" s="650"/>
      <c r="F14" s="583"/>
      <c r="G14" s="583"/>
      <c r="H14" s="583"/>
      <c r="I14" s="583"/>
      <c r="J14" s="747"/>
      <c r="K14" s="747"/>
      <c r="L14" s="747"/>
      <c r="M14" s="747"/>
      <c r="N14" s="747"/>
      <c r="O14" s="747"/>
      <c r="P14" s="747"/>
      <c r="Q14" s="635"/>
      <c r="R14" s="635"/>
      <c r="S14" s="98">
        <v>0</v>
      </c>
      <c r="T14" s="99" t="s">
        <v>7</v>
      </c>
      <c r="U14" s="98">
        <v>3</v>
      </c>
      <c r="V14" s="635"/>
      <c r="W14" s="635"/>
      <c r="X14" s="747"/>
      <c r="Y14" s="747"/>
      <c r="Z14" s="747"/>
      <c r="AA14" s="747"/>
      <c r="AB14" s="747"/>
      <c r="AC14" s="747"/>
      <c r="AD14" s="747"/>
      <c r="AE14" s="583"/>
      <c r="AF14" s="583"/>
      <c r="AG14" s="583"/>
      <c r="AH14" s="583"/>
      <c r="AI14" s="583"/>
      <c r="AJ14" s="583"/>
      <c r="AK14" s="583"/>
      <c r="AL14" s="583"/>
      <c r="AM14" s="583"/>
      <c r="AN14" s="583"/>
      <c r="AO14" s="583"/>
      <c r="AP14" s="583"/>
      <c r="AR14" s="119"/>
      <c r="AS14" s="119"/>
    </row>
    <row r="15" spans="1:45" ht="27" customHeight="1" x14ac:dyDescent="0.4">
      <c r="B15" s="644" t="str">
        <f ca="1">DBCS(INDIRECT("U12対戦スケジュール!ｇ"&amp;(ROW()-1)/2+2))</f>
        <v>②</v>
      </c>
      <c r="C15" s="645">
        <f ca="1">INDIRECT("U12対戦スケジュール!ｈ"&amp;(ROW()-1)/2+2)</f>
        <v>0.41699999999999998</v>
      </c>
      <c r="D15" s="646"/>
      <c r="E15" s="647"/>
      <c r="F15" s="583"/>
      <c r="G15" s="583"/>
      <c r="H15" s="583"/>
      <c r="I15" s="583"/>
      <c r="J15" s="746" t="str">
        <f>VLOOKUP(AR15,U12組合せ!B$10:K$19,5,TRUE)</f>
        <v>緑ヶ丘ＹＦＣ</v>
      </c>
      <c r="K15" s="747"/>
      <c r="L15" s="747"/>
      <c r="M15" s="747"/>
      <c r="N15" s="747"/>
      <c r="O15" s="747"/>
      <c r="P15" s="747"/>
      <c r="Q15" s="635">
        <f>IF(OR(S15="",S16=""),"",S15+S16)</f>
        <v>0</v>
      </c>
      <c r="R15" s="635"/>
      <c r="S15" s="98">
        <v>0</v>
      </c>
      <c r="T15" s="99" t="s">
        <v>7</v>
      </c>
      <c r="U15" s="98">
        <v>2</v>
      </c>
      <c r="V15" s="635">
        <f>IF(OR(U15="",U16=""),"",U15+U16)</f>
        <v>2</v>
      </c>
      <c r="W15" s="635"/>
      <c r="X15" s="746" t="str">
        <f>VLOOKUP(AS15,U12組合せ!B$10:K$19,5,TRUE)</f>
        <v>ウエストフットコム</v>
      </c>
      <c r="Y15" s="747"/>
      <c r="Z15" s="747"/>
      <c r="AA15" s="747"/>
      <c r="AB15" s="747"/>
      <c r="AC15" s="747"/>
      <c r="AD15" s="747"/>
      <c r="AE15" s="583"/>
      <c r="AF15" s="583"/>
      <c r="AG15" s="583"/>
      <c r="AH15" s="583"/>
      <c r="AI15" s="634" t="str">
        <f ca="1">DBCS(INDIRECT("U12対戦スケジュール!L"&amp;(ROW()-1)/2+2))</f>
        <v>１／２／３／１</v>
      </c>
      <c r="AJ15" s="583"/>
      <c r="AK15" s="583"/>
      <c r="AL15" s="583"/>
      <c r="AM15" s="583"/>
      <c r="AN15" s="583"/>
      <c r="AO15" s="583"/>
      <c r="AP15" s="583"/>
      <c r="AR15" s="119">
        <v>3</v>
      </c>
      <c r="AS15" s="119">
        <v>2</v>
      </c>
    </row>
    <row r="16" spans="1:45" ht="27" customHeight="1" x14ac:dyDescent="0.4">
      <c r="B16" s="644"/>
      <c r="C16" s="648"/>
      <c r="D16" s="649"/>
      <c r="E16" s="650"/>
      <c r="F16" s="583"/>
      <c r="G16" s="583"/>
      <c r="H16" s="583"/>
      <c r="I16" s="583"/>
      <c r="J16" s="747"/>
      <c r="K16" s="747"/>
      <c r="L16" s="747"/>
      <c r="M16" s="747"/>
      <c r="N16" s="747"/>
      <c r="O16" s="747"/>
      <c r="P16" s="747"/>
      <c r="Q16" s="635"/>
      <c r="R16" s="635"/>
      <c r="S16" s="98">
        <v>0</v>
      </c>
      <c r="T16" s="99" t="s">
        <v>7</v>
      </c>
      <c r="U16" s="98">
        <v>0</v>
      </c>
      <c r="V16" s="635"/>
      <c r="W16" s="635"/>
      <c r="X16" s="747"/>
      <c r="Y16" s="747"/>
      <c r="Z16" s="747"/>
      <c r="AA16" s="747"/>
      <c r="AB16" s="747"/>
      <c r="AC16" s="747"/>
      <c r="AD16" s="747"/>
      <c r="AE16" s="583"/>
      <c r="AF16" s="583"/>
      <c r="AG16" s="583"/>
      <c r="AH16" s="583"/>
      <c r="AI16" s="583"/>
      <c r="AJ16" s="583"/>
      <c r="AK16" s="583"/>
      <c r="AL16" s="583"/>
      <c r="AM16" s="583"/>
      <c r="AN16" s="583"/>
      <c r="AO16" s="583"/>
      <c r="AP16" s="583"/>
      <c r="AR16" s="119"/>
      <c r="AS16" s="119"/>
    </row>
    <row r="17" spans="1:45" ht="27" customHeight="1" x14ac:dyDescent="0.4">
      <c r="B17" s="644" t="str">
        <f ca="1">DBCS(INDIRECT("U12対戦スケジュール!ｇ"&amp;(ROW()-1)/2+2))</f>
        <v>③</v>
      </c>
      <c r="C17" s="645">
        <f ca="1">INDIRECT("U12対戦スケジュール!ｈ"&amp;(ROW()-1)/2+2)</f>
        <v>0.45899999999999996</v>
      </c>
      <c r="D17" s="646"/>
      <c r="E17" s="647"/>
      <c r="F17" s="583"/>
      <c r="G17" s="583"/>
      <c r="H17" s="583"/>
      <c r="I17" s="583"/>
      <c r="J17" s="746" t="str">
        <f>VLOOKUP(AR17,U12組合せ!B$10:K$19,5,TRUE)</f>
        <v>緑ヶ丘ＹＦＣ</v>
      </c>
      <c r="K17" s="747"/>
      <c r="L17" s="747"/>
      <c r="M17" s="747"/>
      <c r="N17" s="747"/>
      <c r="O17" s="747"/>
      <c r="P17" s="747"/>
      <c r="Q17" s="635">
        <f>IF(OR(S17="",S18=""),"",S17+S18)</f>
        <v>0</v>
      </c>
      <c r="R17" s="635"/>
      <c r="S17" s="98">
        <v>0</v>
      </c>
      <c r="T17" s="99" t="s">
        <v>7</v>
      </c>
      <c r="U17" s="98">
        <v>0</v>
      </c>
      <c r="V17" s="635">
        <f>IF(OR(U17="",U18=""),"",U17+U18)</f>
        <v>1</v>
      </c>
      <c r="W17" s="635"/>
      <c r="X17" s="746" t="str">
        <f>VLOOKUP(AS17,U12組合せ!B$10:K$19,5,TRUE)</f>
        <v>スポルト宇都宮U12</v>
      </c>
      <c r="Y17" s="747"/>
      <c r="Z17" s="747"/>
      <c r="AA17" s="747"/>
      <c r="AB17" s="747"/>
      <c r="AC17" s="747"/>
      <c r="AD17" s="747"/>
      <c r="AE17" s="583"/>
      <c r="AF17" s="583"/>
      <c r="AG17" s="583"/>
      <c r="AH17" s="583"/>
      <c r="AI17" s="634" t="str">
        <f ca="1">DBCS(INDIRECT("U12対戦スケジュール!L"&amp;(ROW()-1)/2+2))</f>
        <v>２／３／１／２</v>
      </c>
      <c r="AJ17" s="583"/>
      <c r="AK17" s="583"/>
      <c r="AL17" s="583"/>
      <c r="AM17" s="583"/>
      <c r="AN17" s="583"/>
      <c r="AO17" s="583"/>
      <c r="AP17" s="583"/>
      <c r="AR17" s="119">
        <v>3</v>
      </c>
      <c r="AS17" s="119">
        <v>1</v>
      </c>
    </row>
    <row r="18" spans="1:45" ht="27" customHeight="1" x14ac:dyDescent="0.4">
      <c r="B18" s="644"/>
      <c r="C18" s="648"/>
      <c r="D18" s="649"/>
      <c r="E18" s="650"/>
      <c r="F18" s="583"/>
      <c r="G18" s="583"/>
      <c r="H18" s="583"/>
      <c r="I18" s="583"/>
      <c r="J18" s="747"/>
      <c r="K18" s="747"/>
      <c r="L18" s="747"/>
      <c r="M18" s="747"/>
      <c r="N18" s="747"/>
      <c r="O18" s="747"/>
      <c r="P18" s="747"/>
      <c r="Q18" s="635"/>
      <c r="R18" s="635"/>
      <c r="S18" s="98">
        <v>0</v>
      </c>
      <c r="T18" s="99" t="s">
        <v>7</v>
      </c>
      <c r="U18" s="98">
        <v>1</v>
      </c>
      <c r="V18" s="635"/>
      <c r="W18" s="635"/>
      <c r="X18" s="747"/>
      <c r="Y18" s="747"/>
      <c r="Z18" s="747"/>
      <c r="AA18" s="747"/>
      <c r="AB18" s="747"/>
      <c r="AC18" s="747"/>
      <c r="AD18" s="747"/>
      <c r="AE18" s="583"/>
      <c r="AF18" s="583"/>
      <c r="AG18" s="583"/>
      <c r="AH18" s="583"/>
      <c r="AI18" s="583"/>
      <c r="AJ18" s="583"/>
      <c r="AK18" s="583"/>
      <c r="AL18" s="583"/>
      <c r="AM18" s="583"/>
      <c r="AN18" s="583"/>
      <c r="AO18" s="583"/>
      <c r="AP18" s="583"/>
      <c r="AR18" s="119"/>
      <c r="AS18" s="119"/>
    </row>
    <row r="19" spans="1:45" ht="27" customHeight="1" x14ac:dyDescent="0.4">
      <c r="B19" s="644"/>
      <c r="C19" s="645"/>
      <c r="D19" s="646"/>
      <c r="E19" s="647"/>
      <c r="F19" s="583"/>
      <c r="G19" s="583"/>
      <c r="H19" s="583"/>
      <c r="I19" s="583"/>
      <c r="J19" s="720"/>
      <c r="K19" s="703"/>
      <c r="L19" s="703"/>
      <c r="M19" s="703"/>
      <c r="N19" s="703"/>
      <c r="O19" s="703"/>
      <c r="P19" s="703"/>
      <c r="Q19" s="634"/>
      <c r="R19" s="634"/>
      <c r="S19" s="100"/>
      <c r="T19" s="101"/>
      <c r="U19" s="100"/>
      <c r="V19" s="634"/>
      <c r="W19" s="634"/>
      <c r="X19" s="720"/>
      <c r="Y19" s="703"/>
      <c r="Z19" s="703"/>
      <c r="AA19" s="703"/>
      <c r="AB19" s="703"/>
      <c r="AC19" s="703"/>
      <c r="AD19" s="703"/>
      <c r="AE19" s="583"/>
      <c r="AF19" s="583"/>
      <c r="AG19" s="583"/>
      <c r="AH19" s="583"/>
      <c r="AI19" s="634"/>
      <c r="AJ19" s="583"/>
      <c r="AK19" s="583"/>
      <c r="AL19" s="583"/>
      <c r="AM19" s="583"/>
      <c r="AN19" s="583"/>
      <c r="AO19" s="583"/>
      <c r="AP19" s="583"/>
      <c r="AR19" s="119"/>
      <c r="AS19" s="119"/>
    </row>
    <row r="20" spans="1:45" ht="27" customHeight="1" x14ac:dyDescent="0.4">
      <c r="B20" s="644"/>
      <c r="C20" s="648"/>
      <c r="D20" s="649"/>
      <c r="E20" s="650"/>
      <c r="F20" s="583"/>
      <c r="G20" s="583"/>
      <c r="H20" s="583"/>
      <c r="I20" s="583"/>
      <c r="J20" s="703"/>
      <c r="K20" s="703"/>
      <c r="L20" s="703"/>
      <c r="M20" s="703"/>
      <c r="N20" s="703"/>
      <c r="O20" s="703"/>
      <c r="P20" s="703"/>
      <c r="Q20" s="634"/>
      <c r="R20" s="634"/>
      <c r="S20" s="100"/>
      <c r="T20" s="101"/>
      <c r="U20" s="100"/>
      <c r="V20" s="634"/>
      <c r="W20" s="634"/>
      <c r="X20" s="703"/>
      <c r="Y20" s="703"/>
      <c r="Z20" s="703"/>
      <c r="AA20" s="703"/>
      <c r="AB20" s="703"/>
      <c r="AC20" s="703"/>
      <c r="AD20" s="703"/>
      <c r="AE20" s="583"/>
      <c r="AF20" s="583"/>
      <c r="AG20" s="583"/>
      <c r="AH20" s="583"/>
      <c r="AI20" s="583"/>
      <c r="AJ20" s="583"/>
      <c r="AK20" s="583"/>
      <c r="AL20" s="583"/>
      <c r="AM20" s="583"/>
      <c r="AN20" s="583"/>
      <c r="AO20" s="583"/>
      <c r="AP20" s="583"/>
      <c r="AR20" s="119"/>
      <c r="AS20" s="119"/>
    </row>
    <row r="21" spans="1:45" ht="27" customHeight="1" x14ac:dyDescent="0.4">
      <c r="B21" s="644" t="str">
        <f ca="1">DBCS(INDIRECT("U12対戦スケジュール!A"&amp;(ROW()-1)/2+2))</f>
        <v/>
      </c>
      <c r="C21" s="723"/>
      <c r="D21" s="723"/>
      <c r="E21" s="723"/>
      <c r="F21" s="583"/>
      <c r="G21" s="583"/>
      <c r="H21" s="583"/>
      <c r="I21" s="583"/>
      <c r="J21" s="721"/>
      <c r="K21" s="722"/>
      <c r="L21" s="722"/>
      <c r="M21" s="722"/>
      <c r="N21" s="722"/>
      <c r="O21" s="722"/>
      <c r="P21" s="722"/>
      <c r="Q21" s="634"/>
      <c r="R21" s="634"/>
      <c r="S21" s="100"/>
      <c r="T21" s="101"/>
      <c r="U21" s="100"/>
      <c r="V21" s="634"/>
      <c r="W21" s="634"/>
      <c r="X21" s="721"/>
      <c r="Y21" s="722"/>
      <c r="Z21" s="722"/>
      <c r="AA21" s="722"/>
      <c r="AB21" s="722"/>
      <c r="AC21" s="722"/>
      <c r="AD21" s="722"/>
      <c r="AE21" s="583"/>
      <c r="AF21" s="583"/>
      <c r="AG21" s="583"/>
      <c r="AH21" s="583"/>
      <c r="AI21" s="634"/>
      <c r="AJ21" s="583"/>
      <c r="AK21" s="583"/>
      <c r="AL21" s="583"/>
      <c r="AM21" s="583"/>
      <c r="AN21" s="583"/>
      <c r="AO21" s="583"/>
      <c r="AP21" s="583"/>
      <c r="AR21" s="119"/>
      <c r="AS21" s="119"/>
    </row>
    <row r="22" spans="1:45" ht="27" customHeight="1" x14ac:dyDescent="0.4">
      <c r="B22" s="644"/>
      <c r="C22" s="723"/>
      <c r="D22" s="723"/>
      <c r="E22" s="723"/>
      <c r="F22" s="583"/>
      <c r="G22" s="583"/>
      <c r="H22" s="583"/>
      <c r="I22" s="583"/>
      <c r="J22" s="722"/>
      <c r="K22" s="722"/>
      <c r="L22" s="722"/>
      <c r="M22" s="722"/>
      <c r="N22" s="722"/>
      <c r="O22" s="722"/>
      <c r="P22" s="722"/>
      <c r="Q22" s="634"/>
      <c r="R22" s="634"/>
      <c r="S22" s="100"/>
      <c r="T22" s="101"/>
      <c r="U22" s="100"/>
      <c r="V22" s="634"/>
      <c r="W22" s="634"/>
      <c r="X22" s="722"/>
      <c r="Y22" s="722"/>
      <c r="Z22" s="722"/>
      <c r="AA22" s="722"/>
      <c r="AB22" s="722"/>
      <c r="AC22" s="722"/>
      <c r="AD22" s="722"/>
      <c r="AE22" s="583"/>
      <c r="AF22" s="583"/>
      <c r="AG22" s="583"/>
      <c r="AH22" s="583"/>
      <c r="AI22" s="583"/>
      <c r="AJ22" s="583"/>
      <c r="AK22" s="583"/>
      <c r="AL22" s="583"/>
      <c r="AM22" s="583"/>
      <c r="AN22" s="583"/>
      <c r="AO22" s="583"/>
      <c r="AP22" s="583"/>
      <c r="AR22" s="119"/>
      <c r="AS22" s="119"/>
    </row>
    <row r="23" spans="1:45" ht="27" customHeight="1" x14ac:dyDescent="0.4">
      <c r="B23" s="644"/>
      <c r="C23" s="723"/>
      <c r="D23" s="723"/>
      <c r="E23" s="723"/>
      <c r="F23" s="583"/>
      <c r="G23" s="583"/>
      <c r="H23" s="583"/>
      <c r="I23" s="583"/>
      <c r="J23" s="721"/>
      <c r="K23" s="722"/>
      <c r="L23" s="722"/>
      <c r="M23" s="722"/>
      <c r="N23" s="722"/>
      <c r="O23" s="722"/>
      <c r="P23" s="722"/>
      <c r="Q23" s="634"/>
      <c r="R23" s="634"/>
      <c r="S23" s="100"/>
      <c r="T23" s="101"/>
      <c r="U23" s="100"/>
      <c r="V23" s="634"/>
      <c r="W23" s="634"/>
      <c r="X23" s="721"/>
      <c r="Y23" s="722"/>
      <c r="Z23" s="722"/>
      <c r="AA23" s="722"/>
      <c r="AB23" s="722"/>
      <c r="AC23" s="722"/>
      <c r="AD23" s="722"/>
      <c r="AE23" s="583"/>
      <c r="AF23" s="583"/>
      <c r="AG23" s="583"/>
      <c r="AH23" s="583"/>
      <c r="AI23" s="634"/>
      <c r="AJ23" s="583"/>
      <c r="AK23" s="583"/>
      <c r="AL23" s="583"/>
      <c r="AM23" s="583"/>
      <c r="AN23" s="583"/>
      <c r="AO23" s="583"/>
      <c r="AP23" s="583"/>
      <c r="AR23" s="119"/>
      <c r="AS23" s="119"/>
    </row>
    <row r="24" spans="1:45" ht="27" customHeight="1" x14ac:dyDescent="0.4">
      <c r="B24" s="644"/>
      <c r="C24" s="723"/>
      <c r="D24" s="723"/>
      <c r="E24" s="723"/>
      <c r="F24" s="583"/>
      <c r="G24" s="583"/>
      <c r="H24" s="583"/>
      <c r="I24" s="583"/>
      <c r="J24" s="722"/>
      <c r="K24" s="722"/>
      <c r="L24" s="722"/>
      <c r="M24" s="722"/>
      <c r="N24" s="722"/>
      <c r="O24" s="722"/>
      <c r="P24" s="722"/>
      <c r="Q24" s="634"/>
      <c r="R24" s="634"/>
      <c r="S24" s="100"/>
      <c r="T24" s="101"/>
      <c r="U24" s="100"/>
      <c r="V24" s="634"/>
      <c r="W24" s="634"/>
      <c r="X24" s="722"/>
      <c r="Y24" s="722"/>
      <c r="Z24" s="722"/>
      <c r="AA24" s="722"/>
      <c r="AB24" s="722"/>
      <c r="AC24" s="722"/>
      <c r="AD24" s="722"/>
      <c r="AE24" s="583"/>
      <c r="AF24" s="583"/>
      <c r="AG24" s="583"/>
      <c r="AH24" s="583"/>
      <c r="AI24" s="583"/>
      <c r="AJ24" s="583"/>
      <c r="AK24" s="583"/>
      <c r="AL24" s="583"/>
      <c r="AM24" s="583"/>
      <c r="AN24" s="583"/>
      <c r="AO24" s="583"/>
      <c r="AP24" s="583"/>
      <c r="AR24" s="119"/>
      <c r="AS24" s="119"/>
    </row>
    <row r="25" spans="1:45" ht="27" customHeight="1" x14ac:dyDescent="0.4">
      <c r="B25" s="644"/>
      <c r="C25" s="723"/>
      <c r="D25" s="723"/>
      <c r="E25" s="723"/>
      <c r="F25" s="583"/>
      <c r="G25" s="583"/>
      <c r="H25" s="583"/>
      <c r="I25" s="583"/>
      <c r="J25" s="721"/>
      <c r="K25" s="722"/>
      <c r="L25" s="722"/>
      <c r="M25" s="722"/>
      <c r="N25" s="722"/>
      <c r="O25" s="722"/>
      <c r="P25" s="722"/>
      <c r="Q25" s="634"/>
      <c r="R25" s="634"/>
      <c r="S25" s="100"/>
      <c r="T25" s="101"/>
      <c r="U25" s="100"/>
      <c r="V25" s="634"/>
      <c r="W25" s="634"/>
      <c r="X25" s="721"/>
      <c r="Y25" s="722"/>
      <c r="Z25" s="722"/>
      <c r="AA25" s="722"/>
      <c r="AB25" s="722"/>
      <c r="AC25" s="722"/>
      <c r="AD25" s="722"/>
      <c r="AE25" s="583"/>
      <c r="AF25" s="583"/>
      <c r="AG25" s="583"/>
      <c r="AH25" s="583"/>
      <c r="AI25" s="634"/>
      <c r="AJ25" s="583"/>
      <c r="AK25" s="583"/>
      <c r="AL25" s="583"/>
      <c r="AM25" s="583"/>
      <c r="AN25" s="583"/>
      <c r="AO25" s="583"/>
      <c r="AP25" s="583"/>
      <c r="AR25" s="119"/>
      <c r="AS25" s="119"/>
    </row>
    <row r="26" spans="1:45" ht="27" customHeight="1" x14ac:dyDescent="0.4">
      <c r="B26" s="644"/>
      <c r="C26" s="723"/>
      <c r="D26" s="723"/>
      <c r="E26" s="723"/>
      <c r="F26" s="583"/>
      <c r="G26" s="583"/>
      <c r="H26" s="583"/>
      <c r="I26" s="583"/>
      <c r="J26" s="722"/>
      <c r="K26" s="722"/>
      <c r="L26" s="722"/>
      <c r="M26" s="722"/>
      <c r="N26" s="722"/>
      <c r="O26" s="722"/>
      <c r="P26" s="722"/>
      <c r="Q26" s="634"/>
      <c r="R26" s="634"/>
      <c r="S26" s="100"/>
      <c r="T26" s="101"/>
      <c r="U26" s="100"/>
      <c r="V26" s="634"/>
      <c r="W26" s="634"/>
      <c r="X26" s="722"/>
      <c r="Y26" s="722"/>
      <c r="Z26" s="722"/>
      <c r="AA26" s="722"/>
      <c r="AB26" s="722"/>
      <c r="AC26" s="722"/>
      <c r="AD26" s="722"/>
      <c r="AE26" s="583"/>
      <c r="AF26" s="583"/>
      <c r="AG26" s="583"/>
      <c r="AH26" s="583"/>
      <c r="AI26" s="583"/>
      <c r="AJ26" s="583"/>
      <c r="AK26" s="583"/>
      <c r="AL26" s="583"/>
      <c r="AM26" s="583"/>
      <c r="AN26" s="583"/>
      <c r="AO26" s="583"/>
      <c r="AP26" s="583"/>
    </row>
    <row r="27" spans="1:45" ht="27" customHeight="1" x14ac:dyDescent="0.4">
      <c r="A27" s="102"/>
      <c r="B27" s="103"/>
      <c r="C27" s="104"/>
      <c r="D27" s="104"/>
      <c r="E27" s="104"/>
      <c r="F27" s="103"/>
      <c r="G27" s="103"/>
      <c r="H27" s="103"/>
      <c r="I27" s="103"/>
      <c r="J27" s="103"/>
      <c r="K27" s="105"/>
      <c r="L27" s="105"/>
      <c r="M27" s="106"/>
      <c r="N27" s="107"/>
      <c r="O27" s="106"/>
      <c r="P27" s="105"/>
      <c r="Q27" s="105"/>
      <c r="R27" s="103"/>
      <c r="S27" s="103"/>
      <c r="T27" s="103"/>
      <c r="U27" s="103"/>
      <c r="V27" s="103"/>
      <c r="W27" s="108"/>
      <c r="X27" s="108"/>
      <c r="Y27" s="108"/>
      <c r="Z27" s="108"/>
      <c r="AA27" s="108"/>
      <c r="AB27" s="108"/>
      <c r="AC27" s="102"/>
    </row>
    <row r="28" spans="1:45" ht="27" customHeight="1" x14ac:dyDescent="0.4">
      <c r="D28" s="644" t="s">
        <v>8</v>
      </c>
      <c r="E28" s="644"/>
      <c r="F28" s="644"/>
      <c r="G28" s="644"/>
      <c r="H28" s="644"/>
      <c r="I28" s="644"/>
      <c r="J28" s="644" t="s">
        <v>5</v>
      </c>
      <c r="K28" s="644"/>
      <c r="L28" s="644"/>
      <c r="M28" s="644"/>
      <c r="N28" s="644"/>
      <c r="O28" s="644"/>
      <c r="P28" s="644"/>
      <c r="Q28" s="644"/>
      <c r="R28" s="639" t="s">
        <v>9</v>
      </c>
      <c r="S28" s="639"/>
      <c r="T28" s="639"/>
      <c r="U28" s="639"/>
      <c r="V28" s="639"/>
      <c r="W28" s="639"/>
      <c r="X28" s="639"/>
      <c r="Y28" s="639"/>
      <c r="Z28" s="639"/>
      <c r="AA28" s="613" t="s">
        <v>10</v>
      </c>
      <c r="AB28" s="613"/>
      <c r="AC28" s="613"/>
      <c r="AD28" s="613" t="s">
        <v>11</v>
      </c>
      <c r="AE28" s="613"/>
      <c r="AF28" s="613"/>
      <c r="AG28" s="613"/>
      <c r="AH28" s="613"/>
      <c r="AI28" s="613"/>
      <c r="AJ28" s="613"/>
      <c r="AK28" s="613"/>
      <c r="AL28" s="613"/>
      <c r="AM28" s="613"/>
    </row>
    <row r="29" spans="1:45" ht="27" customHeight="1" x14ac:dyDescent="0.4">
      <c r="D29" s="644" t="s">
        <v>12</v>
      </c>
      <c r="E29" s="644"/>
      <c r="F29" s="644"/>
      <c r="G29" s="644"/>
      <c r="H29" s="644"/>
      <c r="I29" s="644"/>
      <c r="J29" s="644"/>
      <c r="K29" s="644"/>
      <c r="L29" s="644"/>
      <c r="M29" s="644"/>
      <c r="N29" s="644"/>
      <c r="O29" s="644"/>
      <c r="P29" s="644"/>
      <c r="Q29" s="644"/>
      <c r="R29" s="639"/>
      <c r="S29" s="639"/>
      <c r="T29" s="639"/>
      <c r="U29" s="639"/>
      <c r="V29" s="639"/>
      <c r="W29" s="639"/>
      <c r="X29" s="639"/>
      <c r="Y29" s="639"/>
      <c r="Z29" s="639"/>
      <c r="AA29" s="724"/>
      <c r="AB29" s="724"/>
      <c r="AC29" s="724"/>
      <c r="AD29" s="595"/>
      <c r="AE29" s="595"/>
      <c r="AF29" s="595"/>
      <c r="AG29" s="595"/>
      <c r="AH29" s="595"/>
      <c r="AI29" s="595"/>
      <c r="AJ29" s="595"/>
      <c r="AK29" s="595"/>
      <c r="AL29" s="595"/>
      <c r="AM29" s="595"/>
    </row>
    <row r="30" spans="1:45" ht="27" customHeight="1" x14ac:dyDescent="0.4">
      <c r="D30" s="644" t="s">
        <v>12</v>
      </c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39"/>
      <c r="S30" s="639"/>
      <c r="T30" s="639"/>
      <c r="U30" s="639"/>
      <c r="V30" s="639"/>
      <c r="W30" s="639"/>
      <c r="X30" s="639"/>
      <c r="Y30" s="639"/>
      <c r="Z30" s="639"/>
      <c r="AA30" s="613"/>
      <c r="AB30" s="613"/>
      <c r="AC30" s="613"/>
      <c r="AD30" s="595"/>
      <c r="AE30" s="595"/>
      <c r="AF30" s="595"/>
      <c r="AG30" s="595"/>
      <c r="AH30" s="595"/>
      <c r="AI30" s="595"/>
      <c r="AJ30" s="595"/>
      <c r="AK30" s="595"/>
      <c r="AL30" s="595"/>
      <c r="AM30" s="595"/>
    </row>
    <row r="31" spans="1:45" ht="27" customHeight="1" x14ac:dyDescent="0.4">
      <c r="D31" s="644" t="s">
        <v>12</v>
      </c>
      <c r="E31" s="644"/>
      <c r="F31" s="644"/>
      <c r="G31" s="644"/>
      <c r="H31" s="644"/>
      <c r="I31" s="644"/>
      <c r="J31" s="644"/>
      <c r="K31" s="644"/>
      <c r="L31" s="644"/>
      <c r="M31" s="644"/>
      <c r="N31" s="644"/>
      <c r="O31" s="644"/>
      <c r="P31" s="644"/>
      <c r="Q31" s="644"/>
      <c r="R31" s="639"/>
      <c r="S31" s="639"/>
      <c r="T31" s="639"/>
      <c r="U31" s="639"/>
      <c r="V31" s="639"/>
      <c r="W31" s="639"/>
      <c r="X31" s="639"/>
      <c r="Y31" s="639"/>
      <c r="Z31" s="639"/>
      <c r="AA31" s="613"/>
      <c r="AB31" s="613"/>
      <c r="AC31" s="613"/>
      <c r="AD31" s="595"/>
      <c r="AE31" s="595"/>
      <c r="AF31" s="595"/>
      <c r="AG31" s="595"/>
      <c r="AH31" s="595"/>
      <c r="AI31" s="595"/>
      <c r="AJ31" s="595"/>
      <c r="AK31" s="595"/>
      <c r="AL31" s="595"/>
      <c r="AM31" s="595"/>
    </row>
    <row r="32" spans="1:45" ht="27" customHeight="1" x14ac:dyDescent="0.4">
      <c r="A32" s="115"/>
      <c r="B32" s="115"/>
      <c r="AC32" s="102"/>
      <c r="AD32" s="102"/>
      <c r="AE32" s="102"/>
      <c r="AF32" s="102"/>
      <c r="AG32" s="102"/>
      <c r="AH32" s="102"/>
      <c r="AI32" s="102"/>
      <c r="AJ32" s="102"/>
    </row>
    <row r="33" spans="1:45" ht="27" customHeight="1" x14ac:dyDescent="0.4">
      <c r="A33" s="115"/>
      <c r="B33" s="599" t="str">
        <f>U12組合せ!$B$1</f>
        <v>ＪＦＡ　Ｕ-１２サッカーリーグ2021（in栃木） 宇都宮地区リーグ戦（前期）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612" t="str">
        <f>"【"&amp;(U12組合せ!$F$3)&amp;"】"</f>
        <v>【Ｂ ブロック】</v>
      </c>
      <c r="AD33" s="612"/>
      <c r="AE33" s="612"/>
      <c r="AF33" s="612"/>
      <c r="AG33" s="612"/>
      <c r="AH33" s="612"/>
      <c r="AI33" s="612"/>
      <c r="AJ33" s="612"/>
      <c r="AK33" s="602" t="str">
        <f>"第"&amp;(U12組合せ!$D$21)</f>
        <v>第１節</v>
      </c>
      <c r="AL33" s="602"/>
      <c r="AM33" s="602"/>
      <c r="AN33" s="602"/>
      <c r="AO33" s="602"/>
      <c r="AP33" s="597" t="s">
        <v>310</v>
      </c>
      <c r="AQ33" s="598"/>
    </row>
    <row r="34" spans="1:45" ht="27" customHeight="1" x14ac:dyDescent="0.4">
      <c r="A34" s="115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601"/>
      <c r="AD34" s="601"/>
      <c r="AE34" s="601"/>
      <c r="AF34" s="601"/>
      <c r="AG34" s="601"/>
      <c r="AH34" s="601"/>
      <c r="AI34" s="601"/>
      <c r="AJ34" s="601"/>
      <c r="AK34" s="601"/>
      <c r="AL34" s="601"/>
      <c r="AM34" s="601"/>
      <c r="AN34" s="601"/>
      <c r="AO34" s="612"/>
      <c r="AP34" s="598"/>
      <c r="AQ34" s="598"/>
      <c r="AR34" s="115"/>
      <c r="AS34" s="115"/>
    </row>
    <row r="35" spans="1:45" ht="27" customHeight="1" x14ac:dyDescent="0.4">
      <c r="C35" s="734" t="s">
        <v>1</v>
      </c>
      <c r="D35" s="735"/>
      <c r="E35" s="735"/>
      <c r="F35" s="736"/>
      <c r="G35" s="725" t="str">
        <f>U12組合せ!G23</f>
        <v>白沢 北 PM</v>
      </c>
      <c r="H35" s="726"/>
      <c r="I35" s="726"/>
      <c r="J35" s="726"/>
      <c r="K35" s="726"/>
      <c r="L35" s="726"/>
      <c r="M35" s="726"/>
      <c r="N35" s="726"/>
      <c r="O35" s="727"/>
      <c r="P35" s="734" t="s">
        <v>0</v>
      </c>
      <c r="Q35" s="735"/>
      <c r="R35" s="735"/>
      <c r="S35" s="736"/>
      <c r="T35" s="725" t="str">
        <f>S38</f>
        <v>岡西FC</v>
      </c>
      <c r="U35" s="726"/>
      <c r="V35" s="726"/>
      <c r="W35" s="726"/>
      <c r="X35" s="726"/>
      <c r="Y35" s="726"/>
      <c r="Z35" s="726"/>
      <c r="AA35" s="726"/>
      <c r="AB35" s="727"/>
      <c r="AC35" s="734" t="s">
        <v>2</v>
      </c>
      <c r="AD35" s="735"/>
      <c r="AE35" s="735"/>
      <c r="AF35" s="736"/>
      <c r="AG35" s="618">
        <f>U12対戦スケジュール!F3</f>
        <v>44296</v>
      </c>
      <c r="AH35" s="619"/>
      <c r="AI35" s="619"/>
      <c r="AJ35" s="619"/>
      <c r="AK35" s="619"/>
      <c r="AL35" s="619"/>
      <c r="AM35" s="620" t="str">
        <f>"（"&amp;TEXT(AG35,"aaa")&amp;"）"</f>
        <v>（土）</v>
      </c>
      <c r="AN35" s="620"/>
      <c r="AO35" s="621"/>
    </row>
    <row r="36" spans="1:45" ht="27" customHeight="1" x14ac:dyDescent="0.4">
      <c r="C36" s="96" t="str">
        <f>U12組合せ!G24</f>
        <v>B456</v>
      </c>
      <c r="D36" s="102"/>
      <c r="E36" s="102"/>
      <c r="F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95"/>
      <c r="X36" s="95"/>
      <c r="Y36" s="95"/>
      <c r="Z36" s="95"/>
      <c r="AA36" s="95"/>
      <c r="AB36" s="95"/>
      <c r="AC36" s="95"/>
    </row>
    <row r="37" spans="1:45" ht="27" customHeight="1" x14ac:dyDescent="0.4">
      <c r="C37" s="748">
        <v>1</v>
      </c>
      <c r="D37" s="749"/>
      <c r="E37" s="750" t="str">
        <f>VLOOKUP(C37,U12組合せ!B$10:K$19,5,TRUE)</f>
        <v>スポルト宇都宮U12</v>
      </c>
      <c r="F37" s="751"/>
      <c r="G37" s="751"/>
      <c r="H37" s="751"/>
      <c r="I37" s="751"/>
      <c r="J37" s="751"/>
      <c r="K37" s="751"/>
      <c r="L37" s="751"/>
      <c r="M37" s="751"/>
      <c r="N37" s="752"/>
      <c r="O37" s="94"/>
      <c r="P37" s="94"/>
      <c r="Q37" s="725">
        <v>4</v>
      </c>
      <c r="R37" s="727"/>
      <c r="S37" s="753" t="str">
        <f>VLOOKUP(Q37,U12組合せ!B$10:K$19,5,TRUE)</f>
        <v>昭和・戸祭SC</v>
      </c>
      <c r="T37" s="754"/>
      <c r="U37" s="754"/>
      <c r="V37" s="754"/>
      <c r="W37" s="754"/>
      <c r="X37" s="754"/>
      <c r="Y37" s="754"/>
      <c r="Z37" s="754"/>
      <c r="AA37" s="754"/>
      <c r="AB37" s="755"/>
      <c r="AC37" s="111"/>
      <c r="AD37" s="93"/>
      <c r="AE37" s="748">
        <v>7</v>
      </c>
      <c r="AF37" s="749"/>
      <c r="AG37" s="750" t="str">
        <f>VLOOKUP(AE37,U12組合せ!B$10:'U12組合せ'!K$19,5,TRUE)</f>
        <v>上三川SC</v>
      </c>
      <c r="AH37" s="751"/>
      <c r="AI37" s="751"/>
      <c r="AJ37" s="751"/>
      <c r="AK37" s="751"/>
      <c r="AL37" s="751"/>
      <c r="AM37" s="751"/>
      <c r="AN37" s="751"/>
      <c r="AO37" s="751"/>
      <c r="AP37" s="752"/>
    </row>
    <row r="38" spans="1:45" ht="27" customHeight="1" x14ac:dyDescent="0.4">
      <c r="C38" s="748">
        <v>2</v>
      </c>
      <c r="D38" s="749"/>
      <c r="E38" s="750" t="str">
        <f>VLOOKUP(C38,U12組合せ!B$10:K$19,5,TRUE)</f>
        <v>ウエストフットコム</v>
      </c>
      <c r="F38" s="751"/>
      <c r="G38" s="751"/>
      <c r="H38" s="751"/>
      <c r="I38" s="751"/>
      <c r="J38" s="751"/>
      <c r="K38" s="751"/>
      <c r="L38" s="751"/>
      <c r="M38" s="751"/>
      <c r="N38" s="752"/>
      <c r="O38" s="94"/>
      <c r="P38" s="94"/>
      <c r="Q38" s="725">
        <v>5</v>
      </c>
      <c r="R38" s="727"/>
      <c r="S38" s="753" t="str">
        <f>VLOOKUP(Q38,U12組合せ!B$10:K$19,5,TRUE)</f>
        <v>岡西FC</v>
      </c>
      <c r="T38" s="754"/>
      <c r="U38" s="754"/>
      <c r="V38" s="754"/>
      <c r="W38" s="754"/>
      <c r="X38" s="754"/>
      <c r="Y38" s="754"/>
      <c r="Z38" s="754"/>
      <c r="AA38" s="754"/>
      <c r="AB38" s="755"/>
      <c r="AC38" s="111"/>
      <c r="AD38" s="93"/>
      <c r="AE38" s="748">
        <v>8</v>
      </c>
      <c r="AF38" s="749"/>
      <c r="AG38" s="750" t="str">
        <f>VLOOKUP(AE38,U12組合せ!B$10:'U12組合せ'!K$19,5,TRUE)</f>
        <v>宇都宮FCジュニア</v>
      </c>
      <c r="AH38" s="751"/>
      <c r="AI38" s="751"/>
      <c r="AJ38" s="751"/>
      <c r="AK38" s="751"/>
      <c r="AL38" s="751"/>
      <c r="AM38" s="751"/>
      <c r="AN38" s="751"/>
      <c r="AO38" s="751"/>
      <c r="AP38" s="752"/>
    </row>
    <row r="39" spans="1:45" ht="27" customHeight="1" x14ac:dyDescent="0.4">
      <c r="C39" s="748">
        <v>3</v>
      </c>
      <c r="D39" s="749"/>
      <c r="E39" s="750" t="str">
        <f>VLOOKUP(C39,U12組合せ!B$10:K$19,5,TRUE)</f>
        <v>緑ヶ丘ＹＦＣ</v>
      </c>
      <c r="F39" s="751"/>
      <c r="G39" s="751"/>
      <c r="H39" s="751"/>
      <c r="I39" s="751"/>
      <c r="J39" s="751"/>
      <c r="K39" s="751"/>
      <c r="L39" s="751"/>
      <c r="M39" s="751"/>
      <c r="N39" s="752"/>
      <c r="O39" s="94"/>
      <c r="P39" s="94"/>
      <c r="Q39" s="725">
        <v>6</v>
      </c>
      <c r="R39" s="727"/>
      <c r="S39" s="753" t="str">
        <f>VLOOKUP(Q39,U12組合せ!B$10:K$19,5,TRUE)</f>
        <v>FCグラシアス</v>
      </c>
      <c r="T39" s="754"/>
      <c r="U39" s="754"/>
      <c r="V39" s="754"/>
      <c r="W39" s="754"/>
      <c r="X39" s="754"/>
      <c r="Y39" s="754"/>
      <c r="Z39" s="754"/>
      <c r="AA39" s="754"/>
      <c r="AB39" s="755"/>
      <c r="AC39" s="111"/>
      <c r="AD39" s="93"/>
      <c r="AE39" s="748">
        <v>9</v>
      </c>
      <c r="AF39" s="749"/>
      <c r="AG39" s="750" t="str">
        <f>VLOOKUP(AE39,U12組合せ!B$10:'U12組合せ'!K$19,5,TRUE)</f>
        <v>サウス宇都宮SC</v>
      </c>
      <c r="AH39" s="751"/>
      <c r="AI39" s="751"/>
      <c r="AJ39" s="751"/>
      <c r="AK39" s="751"/>
      <c r="AL39" s="751"/>
      <c r="AM39" s="751"/>
      <c r="AN39" s="751"/>
      <c r="AO39" s="751"/>
      <c r="AP39" s="752"/>
    </row>
    <row r="40" spans="1:45" ht="11.25" customHeight="1" x14ac:dyDescent="0.4">
      <c r="B40" s="102"/>
      <c r="O40" s="102"/>
      <c r="P40" s="102"/>
      <c r="AC40" s="95"/>
      <c r="AD40" s="102"/>
      <c r="AE40" s="102"/>
      <c r="AF40" s="102"/>
      <c r="AG40" s="102"/>
    </row>
    <row r="41" spans="1:45" ht="11.25" customHeight="1" x14ac:dyDescent="0.4">
      <c r="O41" s="102"/>
      <c r="P41" s="102"/>
      <c r="AC41" s="95"/>
    </row>
    <row r="42" spans="1:45" ht="11.25" customHeight="1" x14ac:dyDescent="0.4">
      <c r="C42" s="117"/>
      <c r="D42" s="118"/>
      <c r="E42" s="118"/>
      <c r="F42" s="118"/>
      <c r="G42" s="118"/>
      <c r="H42" s="118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18"/>
      <c r="U42" s="102"/>
      <c r="V42" s="118"/>
      <c r="W42" s="102"/>
      <c r="X42" s="118"/>
      <c r="Y42" s="102"/>
      <c r="Z42" s="118"/>
      <c r="AA42" s="102"/>
      <c r="AB42" s="118"/>
      <c r="AC42" s="118"/>
    </row>
    <row r="43" spans="1:45" ht="27" customHeight="1" x14ac:dyDescent="0.4">
      <c r="B43" s="96" t="s">
        <v>289</v>
      </c>
    </row>
    <row r="44" spans="1:45" ht="27" customHeight="1" x14ac:dyDescent="0.4">
      <c r="B44" s="97"/>
      <c r="C44" s="711" t="s">
        <v>3</v>
      </c>
      <c r="D44" s="711"/>
      <c r="E44" s="711"/>
      <c r="F44" s="712" t="s">
        <v>4</v>
      </c>
      <c r="G44" s="712"/>
      <c r="H44" s="712"/>
      <c r="I44" s="712"/>
      <c r="J44" s="711" t="s">
        <v>5</v>
      </c>
      <c r="K44" s="713"/>
      <c r="L44" s="713"/>
      <c r="M44" s="713"/>
      <c r="N44" s="713"/>
      <c r="O44" s="713"/>
      <c r="P44" s="713"/>
      <c r="Q44" s="711" t="s">
        <v>329</v>
      </c>
      <c r="R44" s="711"/>
      <c r="S44" s="711"/>
      <c r="T44" s="711"/>
      <c r="U44" s="711"/>
      <c r="V44" s="711"/>
      <c r="W44" s="711"/>
      <c r="X44" s="711" t="s">
        <v>5</v>
      </c>
      <c r="Y44" s="713"/>
      <c r="Z44" s="713"/>
      <c r="AA44" s="713"/>
      <c r="AB44" s="713"/>
      <c r="AC44" s="713"/>
      <c r="AD44" s="713"/>
      <c r="AE44" s="712" t="s">
        <v>4</v>
      </c>
      <c r="AF44" s="712"/>
      <c r="AG44" s="712"/>
      <c r="AH44" s="712"/>
      <c r="AI44" s="711" t="s">
        <v>6</v>
      </c>
      <c r="AJ44" s="711"/>
      <c r="AK44" s="713"/>
      <c r="AL44" s="713"/>
      <c r="AM44" s="713"/>
      <c r="AN44" s="713"/>
      <c r="AO44" s="713"/>
      <c r="AP44" s="713"/>
    </row>
    <row r="45" spans="1:45" ht="27" customHeight="1" x14ac:dyDescent="0.4">
      <c r="B45" s="644" t="str">
        <f ca="1">DBCS(INDIRECT("U12対戦スケジュール!ｇ"&amp;(ROW()-1)/2-6))</f>
        <v>④</v>
      </c>
      <c r="C45" s="645">
        <f ca="1">INDIRECT("U12対戦スケジュール!ｈ"&amp;(ROW()-1)/2-6)</f>
        <v>0.5625</v>
      </c>
      <c r="D45" s="646"/>
      <c r="E45" s="647"/>
      <c r="F45" s="583"/>
      <c r="G45" s="583"/>
      <c r="H45" s="583"/>
      <c r="I45" s="583"/>
      <c r="J45" s="746" t="str">
        <f>VLOOKUP(AR45,U12組合せ!B$10:K$19,5,TRUE)</f>
        <v>昭和・戸祭SC</v>
      </c>
      <c r="K45" s="747"/>
      <c r="L45" s="747"/>
      <c r="M45" s="747"/>
      <c r="N45" s="747"/>
      <c r="O45" s="747"/>
      <c r="P45" s="747"/>
      <c r="Q45" s="635">
        <f>IF(OR(S45="",S46=""),"",S45+S46)</f>
        <v>0</v>
      </c>
      <c r="R45" s="635"/>
      <c r="S45" s="98">
        <v>0</v>
      </c>
      <c r="T45" s="99" t="s">
        <v>7</v>
      </c>
      <c r="U45" s="98">
        <v>0</v>
      </c>
      <c r="V45" s="635">
        <f>IF(OR(U45="",U46=""),"",U45+U46)</f>
        <v>0</v>
      </c>
      <c r="W45" s="635"/>
      <c r="X45" s="746" t="str">
        <f>VLOOKUP(AS45,U12組合せ!B$10:K$19,5,TRUE)</f>
        <v>岡西FC</v>
      </c>
      <c r="Y45" s="747"/>
      <c r="Z45" s="747"/>
      <c r="AA45" s="747"/>
      <c r="AB45" s="747"/>
      <c r="AC45" s="747"/>
      <c r="AD45" s="747"/>
      <c r="AE45" s="583"/>
      <c r="AF45" s="583"/>
      <c r="AG45" s="583"/>
      <c r="AH45" s="583"/>
      <c r="AI45" s="634" t="str">
        <f ca="1">DBCS(INDIRECT("U12対戦スケジュール!L"&amp;(ROW()-1)/2-6))</f>
        <v>６／４／５／６</v>
      </c>
      <c r="AJ45" s="583"/>
      <c r="AK45" s="583"/>
      <c r="AL45" s="583"/>
      <c r="AM45" s="583"/>
      <c r="AN45" s="583"/>
      <c r="AO45" s="583"/>
      <c r="AP45" s="583"/>
      <c r="AR45" s="119">
        <v>4</v>
      </c>
      <c r="AS45" s="119">
        <v>5</v>
      </c>
    </row>
    <row r="46" spans="1:45" ht="27" customHeight="1" x14ac:dyDescent="0.4">
      <c r="B46" s="644"/>
      <c r="C46" s="648"/>
      <c r="D46" s="649"/>
      <c r="E46" s="650"/>
      <c r="F46" s="583"/>
      <c r="G46" s="583"/>
      <c r="H46" s="583"/>
      <c r="I46" s="583"/>
      <c r="J46" s="747"/>
      <c r="K46" s="747"/>
      <c r="L46" s="747"/>
      <c r="M46" s="747"/>
      <c r="N46" s="747"/>
      <c r="O46" s="747"/>
      <c r="P46" s="747"/>
      <c r="Q46" s="635"/>
      <c r="R46" s="635"/>
      <c r="S46" s="98">
        <v>0</v>
      </c>
      <c r="T46" s="99" t="s">
        <v>7</v>
      </c>
      <c r="U46" s="98">
        <v>0</v>
      </c>
      <c r="V46" s="635"/>
      <c r="W46" s="635"/>
      <c r="X46" s="747"/>
      <c r="Y46" s="747"/>
      <c r="Z46" s="747"/>
      <c r="AA46" s="747"/>
      <c r="AB46" s="747"/>
      <c r="AC46" s="747"/>
      <c r="AD46" s="747"/>
      <c r="AE46" s="583"/>
      <c r="AF46" s="583"/>
      <c r="AG46" s="583"/>
      <c r="AH46" s="583"/>
      <c r="AI46" s="583"/>
      <c r="AJ46" s="583"/>
      <c r="AK46" s="583"/>
      <c r="AL46" s="583"/>
      <c r="AM46" s="583"/>
      <c r="AN46" s="583"/>
      <c r="AO46" s="583"/>
      <c r="AP46" s="583"/>
      <c r="AR46" s="119"/>
      <c r="AS46" s="119"/>
    </row>
    <row r="47" spans="1:45" ht="27" customHeight="1" x14ac:dyDescent="0.4">
      <c r="B47" s="644" t="str">
        <f ca="1">DBCS(INDIRECT("U12対戦スケジュール!ｇ"&amp;(ROW()-1)/2-6))</f>
        <v>⑤</v>
      </c>
      <c r="C47" s="645">
        <f ca="1">INDIRECT("U12対戦スケジュール!ｈ"&amp;(ROW()-1)/2-6)</f>
        <v>0.60450000000000004</v>
      </c>
      <c r="D47" s="646"/>
      <c r="E47" s="647"/>
      <c r="F47" s="583"/>
      <c r="G47" s="583"/>
      <c r="H47" s="583"/>
      <c r="I47" s="583"/>
      <c r="J47" s="746" t="str">
        <f>VLOOKUP(AR47,U12組合せ!B$10:K$19,5,TRUE)</f>
        <v>FCグラシアス</v>
      </c>
      <c r="K47" s="747"/>
      <c r="L47" s="747"/>
      <c r="M47" s="747"/>
      <c r="N47" s="747"/>
      <c r="O47" s="747"/>
      <c r="P47" s="747"/>
      <c r="Q47" s="635">
        <f>IF(OR(S47="",S48=""),"",S47+S48)</f>
        <v>4</v>
      </c>
      <c r="R47" s="635"/>
      <c r="S47" s="98">
        <v>0</v>
      </c>
      <c r="T47" s="99" t="s">
        <v>7</v>
      </c>
      <c r="U47" s="98">
        <v>0</v>
      </c>
      <c r="V47" s="635">
        <f>IF(OR(U47="",U48=""),"",U47+U48)</f>
        <v>0</v>
      </c>
      <c r="W47" s="635"/>
      <c r="X47" s="746" t="str">
        <f>VLOOKUP(AS47,U12組合せ!B$10:K$19,5,TRUE)</f>
        <v>岡西FC</v>
      </c>
      <c r="Y47" s="747"/>
      <c r="Z47" s="747"/>
      <c r="AA47" s="747"/>
      <c r="AB47" s="747"/>
      <c r="AC47" s="747"/>
      <c r="AD47" s="747"/>
      <c r="AE47" s="583"/>
      <c r="AF47" s="583"/>
      <c r="AG47" s="583"/>
      <c r="AH47" s="583"/>
      <c r="AI47" s="634" t="str">
        <f ca="1">DBCS(INDIRECT("U12対戦スケジュール!L"&amp;(ROW()-1)/2-6))</f>
        <v>４／５／６／４</v>
      </c>
      <c r="AJ47" s="583"/>
      <c r="AK47" s="583"/>
      <c r="AL47" s="583"/>
      <c r="AM47" s="583"/>
      <c r="AN47" s="583"/>
      <c r="AO47" s="583"/>
      <c r="AP47" s="583"/>
      <c r="AR47" s="119">
        <v>6</v>
      </c>
      <c r="AS47" s="119">
        <v>5</v>
      </c>
    </row>
    <row r="48" spans="1:45" ht="27" customHeight="1" x14ac:dyDescent="0.4">
      <c r="B48" s="644"/>
      <c r="C48" s="648"/>
      <c r="D48" s="649"/>
      <c r="E48" s="650"/>
      <c r="F48" s="583"/>
      <c r="G48" s="583"/>
      <c r="H48" s="583"/>
      <c r="I48" s="583"/>
      <c r="J48" s="747"/>
      <c r="K48" s="747"/>
      <c r="L48" s="747"/>
      <c r="M48" s="747"/>
      <c r="N48" s="747"/>
      <c r="O48" s="747"/>
      <c r="P48" s="747"/>
      <c r="Q48" s="635"/>
      <c r="R48" s="635"/>
      <c r="S48" s="98">
        <v>4</v>
      </c>
      <c r="T48" s="99" t="s">
        <v>7</v>
      </c>
      <c r="U48" s="98">
        <v>0</v>
      </c>
      <c r="V48" s="635"/>
      <c r="W48" s="635"/>
      <c r="X48" s="747"/>
      <c r="Y48" s="747"/>
      <c r="Z48" s="747"/>
      <c r="AA48" s="747"/>
      <c r="AB48" s="747"/>
      <c r="AC48" s="747"/>
      <c r="AD48" s="747"/>
      <c r="AE48" s="583"/>
      <c r="AF48" s="583"/>
      <c r="AG48" s="583"/>
      <c r="AH48" s="583"/>
      <c r="AI48" s="583"/>
      <c r="AJ48" s="583"/>
      <c r="AK48" s="583"/>
      <c r="AL48" s="583"/>
      <c r="AM48" s="583"/>
      <c r="AN48" s="583"/>
      <c r="AO48" s="583"/>
      <c r="AP48" s="583"/>
      <c r="AR48" s="119"/>
      <c r="AS48" s="119"/>
    </row>
    <row r="49" spans="1:45" ht="27" customHeight="1" x14ac:dyDescent="0.4">
      <c r="B49" s="644" t="str">
        <f ca="1">DBCS(INDIRECT("U12対戦スケジュール!ｇ"&amp;(ROW()-1)/2-6))</f>
        <v>⑥</v>
      </c>
      <c r="C49" s="645">
        <f ca="1">INDIRECT("U12対戦スケジュール!ｈ"&amp;(ROW()-1)/2-6)</f>
        <v>0.64650000000000007</v>
      </c>
      <c r="D49" s="646"/>
      <c r="E49" s="647"/>
      <c r="F49" s="583"/>
      <c r="G49" s="583"/>
      <c r="H49" s="583"/>
      <c r="I49" s="583"/>
      <c r="J49" s="746" t="str">
        <f>VLOOKUP(AR49,U12組合せ!B$10:K$19,5,TRUE)</f>
        <v>FCグラシアス</v>
      </c>
      <c r="K49" s="747"/>
      <c r="L49" s="747"/>
      <c r="M49" s="747"/>
      <c r="N49" s="747"/>
      <c r="O49" s="747"/>
      <c r="P49" s="747"/>
      <c r="Q49" s="635">
        <f>IF(OR(S49="",S50=""),"",S49+S50)</f>
        <v>4</v>
      </c>
      <c r="R49" s="635"/>
      <c r="S49" s="98">
        <v>3</v>
      </c>
      <c r="T49" s="99" t="s">
        <v>7</v>
      </c>
      <c r="U49" s="98">
        <v>0</v>
      </c>
      <c r="V49" s="635">
        <f>IF(OR(U49="",U50=""),"",U49+U50)</f>
        <v>0</v>
      </c>
      <c r="W49" s="635"/>
      <c r="X49" s="746" t="str">
        <f>VLOOKUP(AS49,U12組合せ!B$10:K$19,5,TRUE)</f>
        <v>昭和・戸祭SC</v>
      </c>
      <c r="Y49" s="747"/>
      <c r="Z49" s="747"/>
      <c r="AA49" s="747"/>
      <c r="AB49" s="747"/>
      <c r="AC49" s="747"/>
      <c r="AD49" s="747"/>
      <c r="AE49" s="583"/>
      <c r="AF49" s="583"/>
      <c r="AG49" s="583"/>
      <c r="AH49" s="583"/>
      <c r="AI49" s="634" t="str">
        <f ca="1">DBCS(INDIRECT("U12対戦スケジュール!L"&amp;(ROW()-1)/2-6))</f>
        <v>５／６／４／５</v>
      </c>
      <c r="AJ49" s="583"/>
      <c r="AK49" s="583"/>
      <c r="AL49" s="583"/>
      <c r="AM49" s="583"/>
      <c r="AN49" s="583"/>
      <c r="AO49" s="583"/>
      <c r="AP49" s="583"/>
      <c r="AR49" s="119">
        <v>6</v>
      </c>
      <c r="AS49" s="119">
        <v>4</v>
      </c>
    </row>
    <row r="50" spans="1:45" ht="27" customHeight="1" x14ac:dyDescent="0.4">
      <c r="B50" s="644"/>
      <c r="C50" s="648"/>
      <c r="D50" s="649"/>
      <c r="E50" s="650"/>
      <c r="F50" s="583"/>
      <c r="G50" s="583"/>
      <c r="H50" s="583"/>
      <c r="I50" s="583"/>
      <c r="J50" s="747"/>
      <c r="K50" s="747"/>
      <c r="L50" s="747"/>
      <c r="M50" s="747"/>
      <c r="N50" s="747"/>
      <c r="O50" s="747"/>
      <c r="P50" s="747"/>
      <c r="Q50" s="635"/>
      <c r="R50" s="635"/>
      <c r="S50" s="98">
        <v>1</v>
      </c>
      <c r="T50" s="99" t="s">
        <v>7</v>
      </c>
      <c r="U50" s="98">
        <v>0</v>
      </c>
      <c r="V50" s="635"/>
      <c r="W50" s="635"/>
      <c r="X50" s="747"/>
      <c r="Y50" s="747"/>
      <c r="Z50" s="747"/>
      <c r="AA50" s="747"/>
      <c r="AB50" s="747"/>
      <c r="AC50" s="747"/>
      <c r="AD50" s="747"/>
      <c r="AE50" s="583"/>
      <c r="AF50" s="583"/>
      <c r="AG50" s="583"/>
      <c r="AH50" s="583"/>
      <c r="AI50" s="583"/>
      <c r="AJ50" s="583"/>
      <c r="AK50" s="583"/>
      <c r="AL50" s="583"/>
      <c r="AM50" s="583"/>
      <c r="AN50" s="583"/>
      <c r="AO50" s="583"/>
      <c r="AP50" s="583"/>
      <c r="AR50" s="119"/>
      <c r="AS50" s="119"/>
    </row>
    <row r="51" spans="1:45" ht="27" customHeight="1" x14ac:dyDescent="0.4">
      <c r="B51" s="644"/>
      <c r="C51" s="645"/>
      <c r="D51" s="646"/>
      <c r="E51" s="647"/>
      <c r="F51" s="583"/>
      <c r="G51" s="583"/>
      <c r="H51" s="583"/>
      <c r="I51" s="583"/>
      <c r="J51" s="720"/>
      <c r="K51" s="703"/>
      <c r="L51" s="703"/>
      <c r="M51" s="703"/>
      <c r="N51" s="703"/>
      <c r="O51" s="703"/>
      <c r="P51" s="703"/>
      <c r="Q51" s="634"/>
      <c r="R51" s="634"/>
      <c r="S51" s="100"/>
      <c r="T51" s="101"/>
      <c r="U51" s="100"/>
      <c r="V51" s="634"/>
      <c r="W51" s="634"/>
      <c r="X51" s="720"/>
      <c r="Y51" s="703"/>
      <c r="Z51" s="703"/>
      <c r="AA51" s="703"/>
      <c r="AB51" s="703"/>
      <c r="AC51" s="703"/>
      <c r="AD51" s="703"/>
      <c r="AE51" s="583"/>
      <c r="AF51" s="583"/>
      <c r="AG51" s="583"/>
      <c r="AH51" s="583"/>
      <c r="AI51" s="634"/>
      <c r="AJ51" s="583"/>
      <c r="AK51" s="583"/>
      <c r="AL51" s="583"/>
      <c r="AM51" s="583"/>
      <c r="AN51" s="583"/>
      <c r="AO51" s="583"/>
      <c r="AP51" s="583"/>
      <c r="AR51" s="119"/>
      <c r="AS51" s="119"/>
    </row>
    <row r="52" spans="1:45" ht="27" customHeight="1" x14ac:dyDescent="0.4">
      <c r="B52" s="644"/>
      <c r="C52" s="648"/>
      <c r="D52" s="649"/>
      <c r="E52" s="650"/>
      <c r="F52" s="583"/>
      <c r="G52" s="583"/>
      <c r="H52" s="583"/>
      <c r="I52" s="583"/>
      <c r="J52" s="703"/>
      <c r="K52" s="703"/>
      <c r="L52" s="703"/>
      <c r="M52" s="703"/>
      <c r="N52" s="703"/>
      <c r="O52" s="703"/>
      <c r="P52" s="703"/>
      <c r="Q52" s="634"/>
      <c r="R52" s="634"/>
      <c r="S52" s="100"/>
      <c r="T52" s="101"/>
      <c r="U52" s="100"/>
      <c r="V52" s="634"/>
      <c r="W52" s="634"/>
      <c r="X52" s="703"/>
      <c r="Y52" s="703"/>
      <c r="Z52" s="703"/>
      <c r="AA52" s="703"/>
      <c r="AB52" s="703"/>
      <c r="AC52" s="703"/>
      <c r="AD52" s="703"/>
      <c r="AE52" s="583"/>
      <c r="AF52" s="583"/>
      <c r="AG52" s="583"/>
      <c r="AH52" s="583"/>
      <c r="AI52" s="583"/>
      <c r="AJ52" s="583"/>
      <c r="AK52" s="583"/>
      <c r="AL52" s="583"/>
      <c r="AM52" s="583"/>
      <c r="AN52" s="583"/>
      <c r="AO52" s="583"/>
      <c r="AP52" s="583"/>
      <c r="AR52" s="119"/>
      <c r="AS52" s="119"/>
    </row>
    <row r="53" spans="1:45" ht="27" customHeight="1" x14ac:dyDescent="0.4">
      <c r="B53" s="644"/>
      <c r="C53" s="723"/>
      <c r="D53" s="723"/>
      <c r="E53" s="723"/>
      <c r="F53" s="583"/>
      <c r="G53" s="583"/>
      <c r="H53" s="583"/>
      <c r="I53" s="583"/>
      <c r="J53" s="721"/>
      <c r="K53" s="722"/>
      <c r="L53" s="722"/>
      <c r="M53" s="722"/>
      <c r="N53" s="722"/>
      <c r="O53" s="722"/>
      <c r="P53" s="722"/>
      <c r="Q53" s="634"/>
      <c r="R53" s="634"/>
      <c r="S53" s="100"/>
      <c r="T53" s="101"/>
      <c r="U53" s="100"/>
      <c r="V53" s="634"/>
      <c r="W53" s="634"/>
      <c r="X53" s="721"/>
      <c r="Y53" s="722"/>
      <c r="Z53" s="722"/>
      <c r="AA53" s="722"/>
      <c r="AB53" s="722"/>
      <c r="AC53" s="722"/>
      <c r="AD53" s="722"/>
      <c r="AE53" s="583"/>
      <c r="AF53" s="583"/>
      <c r="AG53" s="583"/>
      <c r="AH53" s="583"/>
      <c r="AI53" s="634"/>
      <c r="AJ53" s="583"/>
      <c r="AK53" s="583"/>
      <c r="AL53" s="583"/>
      <c r="AM53" s="583"/>
      <c r="AN53" s="583"/>
      <c r="AO53" s="583"/>
      <c r="AP53" s="583"/>
      <c r="AR53" s="119"/>
      <c r="AS53" s="119"/>
    </row>
    <row r="54" spans="1:45" ht="27" customHeight="1" x14ac:dyDescent="0.4">
      <c r="B54" s="644"/>
      <c r="C54" s="723"/>
      <c r="D54" s="723"/>
      <c r="E54" s="723"/>
      <c r="F54" s="583"/>
      <c r="G54" s="583"/>
      <c r="H54" s="583"/>
      <c r="I54" s="583"/>
      <c r="J54" s="722"/>
      <c r="K54" s="722"/>
      <c r="L54" s="722"/>
      <c r="M54" s="722"/>
      <c r="N54" s="722"/>
      <c r="O54" s="722"/>
      <c r="P54" s="722"/>
      <c r="Q54" s="634"/>
      <c r="R54" s="634"/>
      <c r="S54" s="100"/>
      <c r="T54" s="101"/>
      <c r="U54" s="100"/>
      <c r="V54" s="634"/>
      <c r="W54" s="634"/>
      <c r="X54" s="722"/>
      <c r="Y54" s="722"/>
      <c r="Z54" s="722"/>
      <c r="AA54" s="722"/>
      <c r="AB54" s="722"/>
      <c r="AC54" s="722"/>
      <c r="AD54" s="722"/>
      <c r="AE54" s="583"/>
      <c r="AF54" s="583"/>
      <c r="AG54" s="583"/>
      <c r="AH54" s="583"/>
      <c r="AI54" s="583"/>
      <c r="AJ54" s="583"/>
      <c r="AK54" s="583"/>
      <c r="AL54" s="583"/>
      <c r="AM54" s="583"/>
      <c r="AN54" s="583"/>
      <c r="AO54" s="583"/>
      <c r="AP54" s="583"/>
      <c r="AR54" s="119"/>
      <c r="AS54" s="119"/>
    </row>
    <row r="55" spans="1:45" ht="27" customHeight="1" x14ac:dyDescent="0.4">
      <c r="B55" s="644"/>
      <c r="C55" s="723"/>
      <c r="D55" s="723"/>
      <c r="E55" s="723"/>
      <c r="F55" s="583"/>
      <c r="G55" s="583"/>
      <c r="H55" s="583"/>
      <c r="I55" s="583"/>
      <c r="J55" s="721"/>
      <c r="K55" s="722"/>
      <c r="L55" s="722"/>
      <c r="M55" s="722"/>
      <c r="N55" s="722"/>
      <c r="O55" s="722"/>
      <c r="P55" s="722"/>
      <c r="Q55" s="634"/>
      <c r="R55" s="634"/>
      <c r="S55" s="100"/>
      <c r="T55" s="101"/>
      <c r="U55" s="100"/>
      <c r="V55" s="634"/>
      <c r="W55" s="634"/>
      <c r="X55" s="721"/>
      <c r="Y55" s="722"/>
      <c r="Z55" s="722"/>
      <c r="AA55" s="722"/>
      <c r="AB55" s="722"/>
      <c r="AC55" s="722"/>
      <c r="AD55" s="722"/>
      <c r="AE55" s="583"/>
      <c r="AF55" s="583"/>
      <c r="AG55" s="583"/>
      <c r="AH55" s="583"/>
      <c r="AI55" s="634"/>
      <c r="AJ55" s="583"/>
      <c r="AK55" s="583"/>
      <c r="AL55" s="583"/>
      <c r="AM55" s="583"/>
      <c r="AN55" s="583"/>
      <c r="AO55" s="583"/>
      <c r="AP55" s="583"/>
      <c r="AR55" s="119"/>
      <c r="AS55" s="119"/>
    </row>
    <row r="56" spans="1:45" ht="27" customHeight="1" x14ac:dyDescent="0.4">
      <c r="B56" s="644"/>
      <c r="C56" s="723"/>
      <c r="D56" s="723"/>
      <c r="E56" s="723"/>
      <c r="F56" s="583"/>
      <c r="G56" s="583"/>
      <c r="H56" s="583"/>
      <c r="I56" s="583"/>
      <c r="J56" s="722"/>
      <c r="K56" s="722"/>
      <c r="L56" s="722"/>
      <c r="M56" s="722"/>
      <c r="N56" s="722"/>
      <c r="O56" s="722"/>
      <c r="P56" s="722"/>
      <c r="Q56" s="634"/>
      <c r="R56" s="634"/>
      <c r="S56" s="100"/>
      <c r="T56" s="101"/>
      <c r="U56" s="100"/>
      <c r="V56" s="634"/>
      <c r="W56" s="634"/>
      <c r="X56" s="722"/>
      <c r="Y56" s="722"/>
      <c r="Z56" s="722"/>
      <c r="AA56" s="722"/>
      <c r="AB56" s="722"/>
      <c r="AC56" s="722"/>
      <c r="AD56" s="722"/>
      <c r="AE56" s="583"/>
      <c r="AF56" s="583"/>
      <c r="AG56" s="583"/>
      <c r="AH56" s="583"/>
      <c r="AI56" s="583"/>
      <c r="AJ56" s="583"/>
      <c r="AK56" s="583"/>
      <c r="AL56" s="583"/>
      <c r="AM56" s="583"/>
      <c r="AN56" s="583"/>
      <c r="AO56" s="583"/>
      <c r="AP56" s="583"/>
      <c r="AR56" s="119"/>
      <c r="AS56" s="119"/>
    </row>
    <row r="57" spans="1:45" ht="27" customHeight="1" x14ac:dyDescent="0.4">
      <c r="B57" s="644"/>
      <c r="C57" s="723"/>
      <c r="D57" s="723"/>
      <c r="E57" s="723"/>
      <c r="F57" s="583"/>
      <c r="G57" s="583"/>
      <c r="H57" s="583"/>
      <c r="I57" s="583"/>
      <c r="J57" s="721"/>
      <c r="K57" s="722"/>
      <c r="L57" s="722"/>
      <c r="M57" s="722"/>
      <c r="N57" s="722"/>
      <c r="O57" s="722"/>
      <c r="P57" s="722"/>
      <c r="Q57" s="634"/>
      <c r="R57" s="634"/>
      <c r="S57" s="100"/>
      <c r="T57" s="101"/>
      <c r="U57" s="100"/>
      <c r="V57" s="634"/>
      <c r="W57" s="634"/>
      <c r="X57" s="721"/>
      <c r="Y57" s="722"/>
      <c r="Z57" s="722"/>
      <c r="AA57" s="722"/>
      <c r="AB57" s="722"/>
      <c r="AC57" s="722"/>
      <c r="AD57" s="722"/>
      <c r="AE57" s="583"/>
      <c r="AF57" s="583"/>
      <c r="AG57" s="583"/>
      <c r="AH57" s="583"/>
      <c r="AI57" s="634"/>
      <c r="AJ57" s="583"/>
      <c r="AK57" s="583"/>
      <c r="AL57" s="583"/>
      <c r="AM57" s="583"/>
      <c r="AN57" s="583"/>
      <c r="AO57" s="583"/>
      <c r="AP57" s="583"/>
      <c r="AR57" s="119"/>
      <c r="AS57" s="119"/>
    </row>
    <row r="58" spans="1:45" ht="27" customHeight="1" x14ac:dyDescent="0.4">
      <c r="B58" s="644"/>
      <c r="C58" s="723"/>
      <c r="D58" s="723"/>
      <c r="E58" s="723"/>
      <c r="F58" s="583"/>
      <c r="G58" s="583"/>
      <c r="H58" s="583"/>
      <c r="I58" s="583"/>
      <c r="J58" s="722"/>
      <c r="K58" s="722"/>
      <c r="L58" s="722"/>
      <c r="M58" s="722"/>
      <c r="N58" s="722"/>
      <c r="O58" s="722"/>
      <c r="P58" s="722"/>
      <c r="Q58" s="634"/>
      <c r="R58" s="634"/>
      <c r="S58" s="100"/>
      <c r="T58" s="101"/>
      <c r="U58" s="100"/>
      <c r="V58" s="634"/>
      <c r="W58" s="634"/>
      <c r="X58" s="722"/>
      <c r="Y58" s="722"/>
      <c r="Z58" s="722"/>
      <c r="AA58" s="722"/>
      <c r="AB58" s="722"/>
      <c r="AC58" s="722"/>
      <c r="AD58" s="722"/>
      <c r="AE58" s="583"/>
      <c r="AF58" s="583"/>
      <c r="AG58" s="583"/>
      <c r="AH58" s="583"/>
      <c r="AI58" s="583"/>
      <c r="AJ58" s="583"/>
      <c r="AK58" s="583"/>
      <c r="AL58" s="583"/>
      <c r="AM58" s="583"/>
      <c r="AN58" s="583"/>
      <c r="AO58" s="583"/>
      <c r="AP58" s="583"/>
    </row>
    <row r="59" spans="1:45" ht="27" customHeight="1" x14ac:dyDescent="0.4">
      <c r="A59" s="102"/>
      <c r="B59" s="103"/>
      <c r="C59" s="104"/>
      <c r="D59" s="104"/>
      <c r="E59" s="104"/>
      <c r="F59" s="103"/>
      <c r="G59" s="103"/>
      <c r="H59" s="103"/>
      <c r="I59" s="103"/>
      <c r="J59" s="103"/>
      <c r="K59" s="105"/>
      <c r="L59" s="105"/>
      <c r="M59" s="106"/>
      <c r="N59" s="107"/>
      <c r="O59" s="106"/>
      <c r="P59" s="105"/>
      <c r="Q59" s="105"/>
      <c r="R59" s="103"/>
      <c r="S59" s="103"/>
      <c r="T59" s="103"/>
      <c r="U59" s="103"/>
      <c r="V59" s="103"/>
      <c r="W59" s="108"/>
      <c r="X59" s="108"/>
      <c r="Y59" s="108"/>
      <c r="Z59" s="108"/>
      <c r="AA59" s="108"/>
      <c r="AB59" s="108"/>
      <c r="AC59" s="102"/>
    </row>
    <row r="60" spans="1:45" ht="27" customHeight="1" x14ac:dyDescent="0.4">
      <c r="D60" s="644" t="s">
        <v>8</v>
      </c>
      <c r="E60" s="644"/>
      <c r="F60" s="644"/>
      <c r="G60" s="644"/>
      <c r="H60" s="644"/>
      <c r="I60" s="644"/>
      <c r="J60" s="644" t="s">
        <v>5</v>
      </c>
      <c r="K60" s="644"/>
      <c r="L60" s="644"/>
      <c r="M60" s="644"/>
      <c r="N60" s="644"/>
      <c r="O60" s="644"/>
      <c r="P60" s="644"/>
      <c r="Q60" s="644"/>
      <c r="R60" s="639" t="s">
        <v>9</v>
      </c>
      <c r="S60" s="639"/>
      <c r="T60" s="639"/>
      <c r="U60" s="639"/>
      <c r="V60" s="639"/>
      <c r="W60" s="639"/>
      <c r="X60" s="639"/>
      <c r="Y60" s="639"/>
      <c r="Z60" s="639"/>
      <c r="AA60" s="613" t="s">
        <v>10</v>
      </c>
      <c r="AB60" s="613"/>
      <c r="AC60" s="613"/>
      <c r="AD60" s="613" t="s">
        <v>11</v>
      </c>
      <c r="AE60" s="613"/>
      <c r="AF60" s="613"/>
      <c r="AG60" s="613"/>
      <c r="AH60" s="613"/>
      <c r="AI60" s="613"/>
      <c r="AJ60" s="613"/>
      <c r="AK60" s="613"/>
      <c r="AL60" s="613"/>
      <c r="AM60" s="613"/>
    </row>
    <row r="61" spans="1:45" ht="27" customHeight="1" x14ac:dyDescent="0.4">
      <c r="D61" s="644" t="s">
        <v>12</v>
      </c>
      <c r="E61" s="644"/>
      <c r="F61" s="644"/>
      <c r="G61" s="644"/>
      <c r="H61" s="644"/>
      <c r="I61" s="644"/>
      <c r="J61" s="644"/>
      <c r="K61" s="644"/>
      <c r="L61" s="644"/>
      <c r="M61" s="644"/>
      <c r="N61" s="644"/>
      <c r="O61" s="644"/>
      <c r="P61" s="644"/>
      <c r="Q61" s="644"/>
      <c r="R61" s="639"/>
      <c r="S61" s="639"/>
      <c r="T61" s="639"/>
      <c r="U61" s="639"/>
      <c r="V61" s="639"/>
      <c r="W61" s="639"/>
      <c r="X61" s="639"/>
      <c r="Y61" s="639"/>
      <c r="Z61" s="639"/>
      <c r="AA61" s="724"/>
      <c r="AB61" s="724"/>
      <c r="AC61" s="724"/>
      <c r="AD61" s="595"/>
      <c r="AE61" s="595"/>
      <c r="AF61" s="595"/>
      <c r="AG61" s="595"/>
      <c r="AH61" s="595"/>
      <c r="AI61" s="595"/>
      <c r="AJ61" s="595"/>
      <c r="AK61" s="595"/>
      <c r="AL61" s="595"/>
      <c r="AM61" s="595"/>
    </row>
    <row r="62" spans="1:45" ht="27" customHeight="1" x14ac:dyDescent="0.4">
      <c r="D62" s="644" t="s">
        <v>12</v>
      </c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39"/>
      <c r="S62" s="639"/>
      <c r="T62" s="639"/>
      <c r="U62" s="639"/>
      <c r="V62" s="639"/>
      <c r="W62" s="639"/>
      <c r="X62" s="639"/>
      <c r="Y62" s="639"/>
      <c r="Z62" s="639"/>
      <c r="AA62" s="613"/>
      <c r="AB62" s="613"/>
      <c r="AC62" s="613"/>
      <c r="AD62" s="595"/>
      <c r="AE62" s="595"/>
      <c r="AF62" s="595"/>
      <c r="AG62" s="595"/>
      <c r="AH62" s="595"/>
      <c r="AI62" s="595"/>
      <c r="AJ62" s="595"/>
      <c r="AK62" s="595"/>
      <c r="AL62" s="595"/>
      <c r="AM62" s="595"/>
    </row>
    <row r="63" spans="1:45" ht="27" customHeight="1" x14ac:dyDescent="0.4">
      <c r="D63" s="644" t="s">
        <v>12</v>
      </c>
      <c r="E63" s="644"/>
      <c r="F63" s="644"/>
      <c r="G63" s="644"/>
      <c r="H63" s="644"/>
      <c r="I63" s="644"/>
      <c r="J63" s="644"/>
      <c r="K63" s="644"/>
      <c r="L63" s="644"/>
      <c r="M63" s="644"/>
      <c r="N63" s="644"/>
      <c r="O63" s="644"/>
      <c r="P63" s="644"/>
      <c r="Q63" s="644"/>
      <c r="R63" s="639"/>
      <c r="S63" s="639"/>
      <c r="T63" s="639"/>
      <c r="U63" s="639"/>
      <c r="V63" s="639"/>
      <c r="W63" s="639"/>
      <c r="X63" s="639"/>
      <c r="Y63" s="639"/>
      <c r="Z63" s="639"/>
      <c r="AA63" s="613"/>
      <c r="AB63" s="613"/>
      <c r="AC63" s="756"/>
      <c r="AD63" s="757"/>
      <c r="AE63" s="757"/>
      <c r="AF63" s="757"/>
      <c r="AG63" s="757"/>
      <c r="AH63" s="757"/>
      <c r="AI63" s="757"/>
      <c r="AJ63" s="757"/>
      <c r="AK63" s="595"/>
      <c r="AL63" s="595"/>
      <c r="AM63" s="595"/>
    </row>
    <row r="64" spans="1:45" ht="27" customHeight="1" x14ac:dyDescent="0.4">
      <c r="A64" s="115"/>
      <c r="B64" s="599" t="str">
        <f>U12組合せ!$B$1</f>
        <v>ＪＦＡ　Ｕ-１２サッカーリーグ2021（in栃木） 宇都宮地区リーグ戦（前期）</v>
      </c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612" t="str">
        <f>"【"&amp;(U12組合せ!$F$3)&amp;"】"</f>
        <v>【Ｂ ブロック】</v>
      </c>
      <c r="AD64" s="612"/>
      <c r="AE64" s="612"/>
      <c r="AF64" s="612"/>
      <c r="AG64" s="612"/>
      <c r="AH64" s="612"/>
      <c r="AI64" s="612"/>
      <c r="AJ64" s="612"/>
      <c r="AK64" s="602" t="str">
        <f>"第"&amp;(U12組合せ!$D$21)</f>
        <v>第１節</v>
      </c>
      <c r="AL64" s="602"/>
      <c r="AM64" s="602"/>
      <c r="AN64" s="602"/>
      <c r="AO64" s="602"/>
      <c r="AP64" s="597" t="s">
        <v>311</v>
      </c>
      <c r="AQ64" s="598"/>
    </row>
    <row r="65" spans="1:45" ht="27" customHeight="1" x14ac:dyDescent="0.4">
      <c r="A65" s="115"/>
      <c r="B65" s="599"/>
      <c r="C65" s="599"/>
      <c r="D65" s="599"/>
      <c r="E65" s="599"/>
      <c r="F65" s="599"/>
      <c r="G65" s="599"/>
      <c r="H65" s="599"/>
      <c r="I65" s="599"/>
      <c r="J65" s="599"/>
      <c r="K65" s="599"/>
      <c r="L65" s="599"/>
      <c r="M65" s="599"/>
      <c r="N65" s="599"/>
      <c r="O65" s="599"/>
      <c r="P65" s="599"/>
      <c r="Q65" s="599"/>
      <c r="R65" s="599"/>
      <c r="S65" s="599"/>
      <c r="T65" s="599"/>
      <c r="U65" s="599"/>
      <c r="V65" s="599"/>
      <c r="W65" s="599"/>
      <c r="X65" s="599"/>
      <c r="Y65" s="599"/>
      <c r="Z65" s="599"/>
      <c r="AA65" s="599"/>
      <c r="AB65" s="599"/>
      <c r="AC65" s="601"/>
      <c r="AD65" s="601"/>
      <c r="AE65" s="601"/>
      <c r="AF65" s="601"/>
      <c r="AG65" s="601"/>
      <c r="AH65" s="601"/>
      <c r="AI65" s="601"/>
      <c r="AJ65" s="601"/>
      <c r="AK65" s="601"/>
      <c r="AL65" s="601"/>
      <c r="AM65" s="601"/>
      <c r="AN65" s="601"/>
      <c r="AO65" s="612"/>
      <c r="AP65" s="598"/>
      <c r="AQ65" s="598"/>
    </row>
    <row r="66" spans="1:45" ht="27" customHeight="1" x14ac:dyDescent="0.4">
      <c r="C66" s="635" t="s">
        <v>1</v>
      </c>
      <c r="D66" s="635"/>
      <c r="E66" s="635"/>
      <c r="F66" s="635"/>
      <c r="G66" s="636" t="str">
        <f>U12組合せ!G25</f>
        <v>白沢 南 PM</v>
      </c>
      <c r="H66" s="636"/>
      <c r="I66" s="636"/>
      <c r="J66" s="636"/>
      <c r="K66" s="636"/>
      <c r="L66" s="636"/>
      <c r="M66" s="636"/>
      <c r="N66" s="636"/>
      <c r="O66" s="636"/>
      <c r="P66" s="635" t="s">
        <v>0</v>
      </c>
      <c r="Q66" s="635"/>
      <c r="R66" s="635"/>
      <c r="S66" s="635"/>
      <c r="T66" s="636" t="str">
        <f>J78</f>
        <v>サウス宇都宮SC</v>
      </c>
      <c r="U66" s="636"/>
      <c r="V66" s="636"/>
      <c r="W66" s="636"/>
      <c r="X66" s="636"/>
      <c r="Y66" s="636"/>
      <c r="Z66" s="636"/>
      <c r="AA66" s="636"/>
      <c r="AB66" s="636"/>
      <c r="AC66" s="635" t="s">
        <v>2</v>
      </c>
      <c r="AD66" s="635"/>
      <c r="AE66" s="635"/>
      <c r="AF66" s="635"/>
      <c r="AG66" s="618">
        <f>U12対戦スケジュール!F3</f>
        <v>44296</v>
      </c>
      <c r="AH66" s="619"/>
      <c r="AI66" s="619"/>
      <c r="AJ66" s="619"/>
      <c r="AK66" s="619"/>
      <c r="AL66" s="619"/>
      <c r="AM66" s="620" t="str">
        <f>"（"&amp;TEXT(AG66,"aaa")&amp;"）"</f>
        <v>（土）</v>
      </c>
      <c r="AN66" s="620"/>
      <c r="AO66" s="621"/>
    </row>
    <row r="67" spans="1:45" ht="27" customHeight="1" x14ac:dyDescent="0.4">
      <c r="C67" s="102" t="str">
        <f>U12組合せ!G26</f>
        <v>B789</v>
      </c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95"/>
      <c r="X67" s="95"/>
      <c r="Y67" s="95"/>
      <c r="Z67" s="95"/>
      <c r="AA67" s="95"/>
      <c r="AB67" s="95"/>
      <c r="AC67" s="95"/>
    </row>
    <row r="68" spans="1:45" ht="27" customHeight="1" x14ac:dyDescent="0.4">
      <c r="C68" s="637">
        <v>1</v>
      </c>
      <c r="D68" s="637"/>
      <c r="E68" s="584" t="str">
        <f>VLOOKUP(C68,U12組合せ!B$10:K$19,5,TRUE)</f>
        <v>スポルト宇都宮U12</v>
      </c>
      <c r="F68" s="584"/>
      <c r="G68" s="584"/>
      <c r="H68" s="584"/>
      <c r="I68" s="584"/>
      <c r="J68" s="584"/>
      <c r="K68" s="584"/>
      <c r="L68" s="584"/>
      <c r="M68" s="584"/>
      <c r="N68" s="584"/>
      <c r="O68" s="94"/>
      <c r="P68" s="94"/>
      <c r="Q68" s="637">
        <v>4</v>
      </c>
      <c r="R68" s="637"/>
      <c r="S68" s="584" t="str">
        <f>VLOOKUP(Q68,U12組合せ!B$10:K$19,5,TRUE)</f>
        <v>昭和・戸祭SC</v>
      </c>
      <c r="T68" s="584"/>
      <c r="U68" s="584"/>
      <c r="V68" s="584"/>
      <c r="W68" s="584"/>
      <c r="X68" s="584"/>
      <c r="Y68" s="584"/>
      <c r="Z68" s="584"/>
      <c r="AA68" s="584"/>
      <c r="AB68" s="584"/>
      <c r="AC68" s="92"/>
      <c r="AD68" s="93"/>
      <c r="AE68" s="636">
        <v>7</v>
      </c>
      <c r="AF68" s="636"/>
      <c r="AG68" s="709" t="str">
        <f>VLOOKUP(AE68,U12組合せ!B$10:'U12組合せ'!K$19,5,TRUE)</f>
        <v>上三川SC</v>
      </c>
      <c r="AH68" s="709"/>
      <c r="AI68" s="709"/>
      <c r="AJ68" s="709"/>
      <c r="AK68" s="709"/>
      <c r="AL68" s="709"/>
      <c r="AM68" s="709"/>
      <c r="AN68" s="709"/>
      <c r="AO68" s="709"/>
      <c r="AP68" s="709"/>
    </row>
    <row r="69" spans="1:45" ht="27" customHeight="1" x14ac:dyDescent="0.4">
      <c r="C69" s="637">
        <v>2</v>
      </c>
      <c r="D69" s="637"/>
      <c r="E69" s="584" t="str">
        <f>VLOOKUP(C69,U12組合せ!B$10:K$19,5,TRUE)</f>
        <v>ウエストフットコム</v>
      </c>
      <c r="F69" s="584"/>
      <c r="G69" s="584"/>
      <c r="H69" s="584"/>
      <c r="I69" s="584"/>
      <c r="J69" s="584"/>
      <c r="K69" s="584"/>
      <c r="L69" s="584"/>
      <c r="M69" s="584"/>
      <c r="N69" s="584"/>
      <c r="O69" s="94"/>
      <c r="P69" s="94"/>
      <c r="Q69" s="637">
        <v>5</v>
      </c>
      <c r="R69" s="637"/>
      <c r="S69" s="584" t="str">
        <f>VLOOKUP(Q69,U12組合せ!B$10:K$19,5,TRUE)</f>
        <v>岡西FC</v>
      </c>
      <c r="T69" s="584"/>
      <c r="U69" s="584"/>
      <c r="V69" s="584"/>
      <c r="W69" s="584"/>
      <c r="X69" s="584"/>
      <c r="Y69" s="584"/>
      <c r="Z69" s="584"/>
      <c r="AA69" s="584"/>
      <c r="AB69" s="584"/>
      <c r="AC69" s="92"/>
      <c r="AD69" s="93"/>
      <c r="AE69" s="636">
        <v>8</v>
      </c>
      <c r="AF69" s="636"/>
      <c r="AG69" s="709" t="str">
        <f>VLOOKUP(AE69,U12組合せ!B$10:'U12組合せ'!K$19,5,TRUE)</f>
        <v>宇都宮FCジュニア</v>
      </c>
      <c r="AH69" s="709"/>
      <c r="AI69" s="709"/>
      <c r="AJ69" s="709"/>
      <c r="AK69" s="709"/>
      <c r="AL69" s="709"/>
      <c r="AM69" s="709"/>
      <c r="AN69" s="709"/>
      <c r="AO69" s="709"/>
      <c r="AP69" s="709"/>
    </row>
    <row r="70" spans="1:45" ht="27" customHeight="1" x14ac:dyDescent="0.4">
      <c r="C70" s="637">
        <v>3</v>
      </c>
      <c r="D70" s="637"/>
      <c r="E70" s="584" t="str">
        <f>VLOOKUP(C70,U12組合せ!B$10:K$19,5,TRUE)</f>
        <v>緑ヶ丘ＹＦＣ</v>
      </c>
      <c r="F70" s="584"/>
      <c r="G70" s="584"/>
      <c r="H70" s="584"/>
      <c r="I70" s="584"/>
      <c r="J70" s="584"/>
      <c r="K70" s="584"/>
      <c r="L70" s="584"/>
      <c r="M70" s="584"/>
      <c r="N70" s="584"/>
      <c r="O70" s="94"/>
      <c r="P70" s="94"/>
      <c r="Q70" s="637">
        <v>6</v>
      </c>
      <c r="R70" s="637"/>
      <c r="S70" s="584" t="str">
        <f>VLOOKUP(Q70,U12組合せ!B$10:K$19,5,TRUE)</f>
        <v>FCグラシアス</v>
      </c>
      <c r="T70" s="584"/>
      <c r="U70" s="584"/>
      <c r="V70" s="584"/>
      <c r="W70" s="584"/>
      <c r="X70" s="584"/>
      <c r="Y70" s="584"/>
      <c r="Z70" s="584"/>
      <c r="AA70" s="584"/>
      <c r="AB70" s="584"/>
      <c r="AC70" s="92"/>
      <c r="AD70" s="93"/>
      <c r="AE70" s="725">
        <v>9</v>
      </c>
      <c r="AF70" s="727"/>
      <c r="AG70" s="709" t="str">
        <f>VLOOKUP(AE70,U12組合せ!B$10:'U12組合せ'!K$19,5,TRUE)</f>
        <v>サウス宇都宮SC</v>
      </c>
      <c r="AH70" s="709"/>
      <c r="AI70" s="709"/>
      <c r="AJ70" s="709"/>
      <c r="AK70" s="709"/>
      <c r="AL70" s="709"/>
      <c r="AM70" s="709"/>
      <c r="AN70" s="709"/>
      <c r="AO70" s="709"/>
      <c r="AP70" s="709"/>
    </row>
    <row r="71" spans="1:45" ht="9.75" customHeight="1" x14ac:dyDescent="0.4">
      <c r="B71" s="102"/>
      <c r="O71" s="102"/>
      <c r="P71" s="102"/>
      <c r="AC71" s="95"/>
      <c r="AD71" s="102"/>
      <c r="AE71" s="102"/>
      <c r="AF71" s="102"/>
      <c r="AG71" s="102"/>
    </row>
    <row r="72" spans="1:45" ht="9.75" customHeight="1" x14ac:dyDescent="0.4">
      <c r="O72" s="102"/>
      <c r="P72" s="102"/>
      <c r="AC72" s="95"/>
    </row>
    <row r="73" spans="1:45" ht="9.75" customHeight="1" x14ac:dyDescent="0.4">
      <c r="C73" s="117"/>
      <c r="D73" s="118"/>
      <c r="E73" s="118"/>
      <c r="F73" s="118"/>
      <c r="G73" s="118"/>
      <c r="H73" s="118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18"/>
      <c r="U73" s="102"/>
      <c r="V73" s="118"/>
      <c r="W73" s="102"/>
      <c r="X73" s="118"/>
      <c r="Y73" s="102"/>
      <c r="Z73" s="118"/>
      <c r="AA73" s="102"/>
      <c r="AB73" s="118"/>
      <c r="AC73" s="118"/>
    </row>
    <row r="74" spans="1:45" ht="27" customHeight="1" x14ac:dyDescent="0.4">
      <c r="B74" s="118" t="str">
        <f ca="1">IF(B76="①","【監督会議 8：20～】","【監督会議 12：50～】")</f>
        <v>【監督会議 12：50～】</v>
      </c>
      <c r="I74" s="96" t="s">
        <v>330</v>
      </c>
    </row>
    <row r="75" spans="1:45" ht="27" customHeight="1" x14ac:dyDescent="0.4">
      <c r="B75" s="97"/>
      <c r="C75" s="711" t="s">
        <v>3</v>
      </c>
      <c r="D75" s="711"/>
      <c r="E75" s="711"/>
      <c r="F75" s="712" t="s">
        <v>4</v>
      </c>
      <c r="G75" s="712"/>
      <c r="H75" s="712"/>
      <c r="I75" s="712"/>
      <c r="J75" s="711" t="s">
        <v>5</v>
      </c>
      <c r="K75" s="713"/>
      <c r="L75" s="713"/>
      <c r="M75" s="713"/>
      <c r="N75" s="713"/>
      <c r="O75" s="713"/>
      <c r="P75" s="713"/>
      <c r="Q75" s="711" t="s">
        <v>329</v>
      </c>
      <c r="R75" s="711"/>
      <c r="S75" s="711"/>
      <c r="T75" s="711"/>
      <c r="U75" s="711"/>
      <c r="V75" s="711"/>
      <c r="W75" s="711"/>
      <c r="X75" s="711" t="s">
        <v>5</v>
      </c>
      <c r="Y75" s="713"/>
      <c r="Z75" s="713"/>
      <c r="AA75" s="713"/>
      <c r="AB75" s="713"/>
      <c r="AC75" s="713"/>
      <c r="AD75" s="713"/>
      <c r="AE75" s="712" t="s">
        <v>4</v>
      </c>
      <c r="AF75" s="712"/>
      <c r="AG75" s="712"/>
      <c r="AH75" s="712"/>
      <c r="AI75" s="711" t="s">
        <v>6</v>
      </c>
      <c r="AJ75" s="711"/>
      <c r="AK75" s="713"/>
      <c r="AL75" s="713"/>
      <c r="AM75" s="713"/>
      <c r="AN75" s="713"/>
      <c r="AO75" s="713"/>
      <c r="AP75" s="713"/>
    </row>
    <row r="76" spans="1:45" ht="27" customHeight="1" x14ac:dyDescent="0.4">
      <c r="B76" s="644" t="str">
        <f ca="1">DBCS(INDIRECT("U12対戦スケジュール!ｇ"&amp;(ROW())/2-15))</f>
        <v>④</v>
      </c>
      <c r="C76" s="645">
        <f ca="1">INDIRECT("U12対戦スケジュール!ｈ"&amp;(ROW())/2-15)</f>
        <v>0.5625</v>
      </c>
      <c r="D76" s="646"/>
      <c r="E76" s="647"/>
      <c r="F76" s="583"/>
      <c r="G76" s="583"/>
      <c r="H76" s="583"/>
      <c r="I76" s="583"/>
      <c r="J76" s="746" t="str">
        <f>VLOOKUP(AR76,U12組合せ!B$10:K$19,5,TRUE)</f>
        <v>上三川SC</v>
      </c>
      <c r="K76" s="747"/>
      <c r="L76" s="747"/>
      <c r="M76" s="747"/>
      <c r="N76" s="747"/>
      <c r="O76" s="747"/>
      <c r="P76" s="747"/>
      <c r="Q76" s="635">
        <f>IF(OR(S76="",S77=""),"",S76+S77)</f>
        <v>4</v>
      </c>
      <c r="R76" s="635"/>
      <c r="S76" s="98">
        <v>2</v>
      </c>
      <c r="T76" s="99" t="s">
        <v>7</v>
      </c>
      <c r="U76" s="98">
        <v>0</v>
      </c>
      <c r="V76" s="635">
        <f>IF(OR(U76="",U77=""),"",U76+U77)</f>
        <v>0</v>
      </c>
      <c r="W76" s="635"/>
      <c r="X76" s="746" t="str">
        <f>VLOOKUP(AS76,U12組合せ!B$10:K$19,5,TRUE)</f>
        <v>宇都宮FCジュニア</v>
      </c>
      <c r="Y76" s="747"/>
      <c r="Z76" s="747"/>
      <c r="AA76" s="747"/>
      <c r="AB76" s="747"/>
      <c r="AC76" s="747"/>
      <c r="AD76" s="747"/>
      <c r="AE76" s="583"/>
      <c r="AF76" s="583"/>
      <c r="AG76" s="583"/>
      <c r="AH76" s="583"/>
      <c r="AI76" s="634" t="str">
        <f ca="1">DBCS(INDIRECT("U12対戦スケジュール!L"&amp;(ROW())/2-15))</f>
        <v>９／７／８／９</v>
      </c>
      <c r="AJ76" s="583"/>
      <c r="AK76" s="583"/>
      <c r="AL76" s="583"/>
      <c r="AM76" s="583"/>
      <c r="AN76" s="583"/>
      <c r="AO76" s="583"/>
      <c r="AP76" s="583"/>
      <c r="AR76" s="119">
        <v>7</v>
      </c>
      <c r="AS76" s="119">
        <v>8</v>
      </c>
    </row>
    <row r="77" spans="1:45" ht="27" customHeight="1" x14ac:dyDescent="0.4">
      <c r="B77" s="644"/>
      <c r="C77" s="648"/>
      <c r="D77" s="649"/>
      <c r="E77" s="650"/>
      <c r="F77" s="583"/>
      <c r="G77" s="583"/>
      <c r="H77" s="583"/>
      <c r="I77" s="583"/>
      <c r="J77" s="747"/>
      <c r="K77" s="747"/>
      <c r="L77" s="747"/>
      <c r="M77" s="747"/>
      <c r="N77" s="747"/>
      <c r="O77" s="747"/>
      <c r="P77" s="747"/>
      <c r="Q77" s="635"/>
      <c r="R77" s="635"/>
      <c r="S77" s="98">
        <v>2</v>
      </c>
      <c r="T77" s="99" t="s">
        <v>7</v>
      </c>
      <c r="U77" s="98">
        <v>0</v>
      </c>
      <c r="V77" s="635"/>
      <c r="W77" s="635"/>
      <c r="X77" s="747"/>
      <c r="Y77" s="747"/>
      <c r="Z77" s="747"/>
      <c r="AA77" s="747"/>
      <c r="AB77" s="747"/>
      <c r="AC77" s="747"/>
      <c r="AD77" s="747"/>
      <c r="AE77" s="583"/>
      <c r="AF77" s="583"/>
      <c r="AG77" s="583"/>
      <c r="AH77" s="583"/>
      <c r="AI77" s="583"/>
      <c r="AJ77" s="583"/>
      <c r="AK77" s="583"/>
      <c r="AL77" s="583"/>
      <c r="AM77" s="583"/>
      <c r="AN77" s="583"/>
      <c r="AO77" s="583"/>
      <c r="AP77" s="583"/>
      <c r="AR77" s="119"/>
      <c r="AS77" s="119"/>
    </row>
    <row r="78" spans="1:45" ht="27" customHeight="1" x14ac:dyDescent="0.4">
      <c r="B78" s="644" t="str">
        <f ca="1">DBCS(INDIRECT("U12対戦スケジュール!ｇ"&amp;(ROW())/2-15))</f>
        <v>⑤</v>
      </c>
      <c r="C78" s="645">
        <f ca="1">INDIRECT("U12対戦スケジュール!ｈ"&amp;(ROW())/2-15)</f>
        <v>0.60450000000000004</v>
      </c>
      <c r="D78" s="646"/>
      <c r="E78" s="647"/>
      <c r="F78" s="583"/>
      <c r="G78" s="583"/>
      <c r="H78" s="583"/>
      <c r="I78" s="583"/>
      <c r="J78" s="746" t="str">
        <f>VLOOKUP(AR78,U12組合せ!B$10:K$19,5,TRUE)</f>
        <v>サウス宇都宮SC</v>
      </c>
      <c r="K78" s="747"/>
      <c r="L78" s="747"/>
      <c r="M78" s="747"/>
      <c r="N78" s="747"/>
      <c r="O78" s="747"/>
      <c r="P78" s="747"/>
      <c r="Q78" s="635">
        <f>IF(OR(S78="",S79=""),"",S78+S79)</f>
        <v>4</v>
      </c>
      <c r="R78" s="635"/>
      <c r="S78" s="98">
        <v>3</v>
      </c>
      <c r="T78" s="99" t="s">
        <v>7</v>
      </c>
      <c r="U78" s="98">
        <v>0</v>
      </c>
      <c r="V78" s="635">
        <f>IF(OR(U78="",U79=""),"",U78+U79)</f>
        <v>0</v>
      </c>
      <c r="W78" s="635"/>
      <c r="X78" s="746" t="str">
        <f>VLOOKUP(AS78,U12組合せ!B$10:K$19,5,TRUE)</f>
        <v>宇都宮FCジュニア</v>
      </c>
      <c r="Y78" s="747"/>
      <c r="Z78" s="747"/>
      <c r="AA78" s="747"/>
      <c r="AB78" s="747"/>
      <c r="AC78" s="747"/>
      <c r="AD78" s="747"/>
      <c r="AE78" s="583"/>
      <c r="AF78" s="583"/>
      <c r="AG78" s="583"/>
      <c r="AH78" s="583"/>
      <c r="AI78" s="634" t="str">
        <f ca="1">DBCS(INDIRECT("U12対戦スケジュール!L"&amp;(ROW())/2-15))</f>
        <v>７／８／９／７</v>
      </c>
      <c r="AJ78" s="583"/>
      <c r="AK78" s="583"/>
      <c r="AL78" s="583"/>
      <c r="AM78" s="583"/>
      <c r="AN78" s="583"/>
      <c r="AO78" s="583"/>
      <c r="AP78" s="583"/>
      <c r="AR78" s="119">
        <v>9</v>
      </c>
      <c r="AS78" s="119">
        <v>8</v>
      </c>
    </row>
    <row r="79" spans="1:45" ht="27" customHeight="1" x14ac:dyDescent="0.4">
      <c r="B79" s="644"/>
      <c r="C79" s="648"/>
      <c r="D79" s="649"/>
      <c r="E79" s="650"/>
      <c r="F79" s="583"/>
      <c r="G79" s="583"/>
      <c r="H79" s="583"/>
      <c r="I79" s="583"/>
      <c r="J79" s="747"/>
      <c r="K79" s="747"/>
      <c r="L79" s="747"/>
      <c r="M79" s="747"/>
      <c r="N79" s="747"/>
      <c r="O79" s="747"/>
      <c r="P79" s="747"/>
      <c r="Q79" s="635"/>
      <c r="R79" s="635"/>
      <c r="S79" s="98">
        <v>1</v>
      </c>
      <c r="T79" s="99" t="s">
        <v>7</v>
      </c>
      <c r="U79" s="98">
        <v>0</v>
      </c>
      <c r="V79" s="635"/>
      <c r="W79" s="635"/>
      <c r="X79" s="747"/>
      <c r="Y79" s="747"/>
      <c r="Z79" s="747"/>
      <c r="AA79" s="747"/>
      <c r="AB79" s="747"/>
      <c r="AC79" s="747"/>
      <c r="AD79" s="747"/>
      <c r="AE79" s="583"/>
      <c r="AF79" s="583"/>
      <c r="AG79" s="583"/>
      <c r="AH79" s="583"/>
      <c r="AI79" s="583"/>
      <c r="AJ79" s="583"/>
      <c r="AK79" s="583"/>
      <c r="AL79" s="583"/>
      <c r="AM79" s="583"/>
      <c r="AN79" s="583"/>
      <c r="AO79" s="583"/>
      <c r="AP79" s="583"/>
      <c r="AR79" s="119"/>
      <c r="AS79" s="119"/>
    </row>
    <row r="80" spans="1:45" ht="27" customHeight="1" x14ac:dyDescent="0.4">
      <c r="B80" s="644" t="str">
        <f ca="1">DBCS(INDIRECT("U12対戦スケジュール!ｇ"&amp;(ROW())/2-15))</f>
        <v>⑥</v>
      </c>
      <c r="C80" s="645">
        <f ca="1">INDIRECT("U12対戦スケジュール!ｈ"&amp;(ROW())/2-15)</f>
        <v>0.64650000000000007</v>
      </c>
      <c r="D80" s="646"/>
      <c r="E80" s="647"/>
      <c r="F80" s="583"/>
      <c r="G80" s="583"/>
      <c r="H80" s="583"/>
      <c r="I80" s="583"/>
      <c r="J80" s="746" t="str">
        <f>VLOOKUP(AR80,U12組合せ!B$10:K$19,5,TRUE)</f>
        <v>サウス宇都宮SC</v>
      </c>
      <c r="K80" s="747"/>
      <c r="L80" s="747"/>
      <c r="M80" s="747"/>
      <c r="N80" s="747"/>
      <c r="O80" s="747"/>
      <c r="P80" s="747"/>
      <c r="Q80" s="635">
        <f>IF(OR(S80="",S81=""),"",S80+S81)</f>
        <v>0</v>
      </c>
      <c r="R80" s="635"/>
      <c r="S80" s="98">
        <v>0</v>
      </c>
      <c r="T80" s="99" t="s">
        <v>7</v>
      </c>
      <c r="U80" s="98">
        <v>0</v>
      </c>
      <c r="V80" s="635">
        <f>IF(OR(U80="",U81=""),"",U80+U81)</f>
        <v>0</v>
      </c>
      <c r="W80" s="635"/>
      <c r="X80" s="746" t="str">
        <f>VLOOKUP(AS80,U12組合せ!B$10:K$19,5,TRUE)</f>
        <v>上三川SC</v>
      </c>
      <c r="Y80" s="747"/>
      <c r="Z80" s="747"/>
      <c r="AA80" s="747"/>
      <c r="AB80" s="747"/>
      <c r="AC80" s="747"/>
      <c r="AD80" s="747"/>
      <c r="AE80" s="583"/>
      <c r="AF80" s="583"/>
      <c r="AG80" s="583"/>
      <c r="AH80" s="583"/>
      <c r="AI80" s="634" t="str">
        <f ca="1">DBCS(INDIRECT("U12対戦スケジュール!L"&amp;(ROW())/2-15))</f>
        <v>８／９／７／８</v>
      </c>
      <c r="AJ80" s="583"/>
      <c r="AK80" s="583"/>
      <c r="AL80" s="583"/>
      <c r="AM80" s="583"/>
      <c r="AN80" s="583"/>
      <c r="AO80" s="583"/>
      <c r="AP80" s="583"/>
      <c r="AR80" s="119">
        <v>9</v>
      </c>
      <c r="AS80" s="119">
        <v>7</v>
      </c>
    </row>
    <row r="81" spans="1:45" ht="27" customHeight="1" x14ac:dyDescent="0.4">
      <c r="B81" s="644"/>
      <c r="C81" s="648"/>
      <c r="D81" s="649"/>
      <c r="E81" s="650"/>
      <c r="F81" s="583"/>
      <c r="G81" s="583"/>
      <c r="H81" s="583"/>
      <c r="I81" s="583"/>
      <c r="J81" s="747"/>
      <c r="K81" s="747"/>
      <c r="L81" s="747"/>
      <c r="M81" s="747"/>
      <c r="N81" s="747"/>
      <c r="O81" s="747"/>
      <c r="P81" s="747"/>
      <c r="Q81" s="635"/>
      <c r="R81" s="635"/>
      <c r="S81" s="98">
        <v>0</v>
      </c>
      <c r="T81" s="99" t="s">
        <v>7</v>
      </c>
      <c r="U81" s="98">
        <v>0</v>
      </c>
      <c r="V81" s="635"/>
      <c r="W81" s="635"/>
      <c r="X81" s="747"/>
      <c r="Y81" s="747"/>
      <c r="Z81" s="747"/>
      <c r="AA81" s="747"/>
      <c r="AB81" s="747"/>
      <c r="AC81" s="747"/>
      <c r="AD81" s="747"/>
      <c r="AE81" s="583"/>
      <c r="AF81" s="583"/>
      <c r="AG81" s="583"/>
      <c r="AH81" s="583"/>
      <c r="AI81" s="583"/>
      <c r="AJ81" s="583"/>
      <c r="AK81" s="583"/>
      <c r="AL81" s="583"/>
      <c r="AM81" s="583"/>
      <c r="AN81" s="583"/>
      <c r="AO81" s="583"/>
      <c r="AP81" s="583"/>
      <c r="AR81" s="119"/>
      <c r="AS81" s="119"/>
    </row>
    <row r="82" spans="1:45" ht="27" customHeight="1" x14ac:dyDescent="0.4">
      <c r="B82" s="644"/>
      <c r="C82" s="645"/>
      <c r="D82" s="646"/>
      <c r="E82" s="647"/>
      <c r="F82" s="583"/>
      <c r="G82" s="583"/>
      <c r="H82" s="583"/>
      <c r="I82" s="583"/>
      <c r="J82" s="720"/>
      <c r="K82" s="703"/>
      <c r="L82" s="703"/>
      <c r="M82" s="703"/>
      <c r="N82" s="703"/>
      <c r="O82" s="703"/>
      <c r="P82" s="703"/>
      <c r="Q82" s="634"/>
      <c r="R82" s="634"/>
      <c r="S82" s="100"/>
      <c r="T82" s="101"/>
      <c r="U82" s="100"/>
      <c r="V82" s="634"/>
      <c r="W82" s="634"/>
      <c r="X82" s="720"/>
      <c r="Y82" s="703"/>
      <c r="Z82" s="703"/>
      <c r="AA82" s="703"/>
      <c r="AB82" s="703"/>
      <c r="AC82" s="703"/>
      <c r="AD82" s="703"/>
      <c r="AE82" s="583"/>
      <c r="AF82" s="583"/>
      <c r="AG82" s="583"/>
      <c r="AH82" s="583"/>
      <c r="AI82" s="634"/>
      <c r="AJ82" s="583"/>
      <c r="AK82" s="583"/>
      <c r="AL82" s="583"/>
      <c r="AM82" s="583"/>
      <c r="AN82" s="583"/>
      <c r="AO82" s="583"/>
      <c r="AP82" s="583"/>
      <c r="AR82" s="119"/>
      <c r="AS82" s="119"/>
    </row>
    <row r="83" spans="1:45" ht="27" customHeight="1" x14ac:dyDescent="0.4">
      <c r="B83" s="644"/>
      <c r="C83" s="648"/>
      <c r="D83" s="649"/>
      <c r="E83" s="650"/>
      <c r="F83" s="583"/>
      <c r="G83" s="583"/>
      <c r="H83" s="583"/>
      <c r="I83" s="583"/>
      <c r="J83" s="703"/>
      <c r="K83" s="703"/>
      <c r="L83" s="703"/>
      <c r="M83" s="703"/>
      <c r="N83" s="703"/>
      <c r="O83" s="703"/>
      <c r="P83" s="703"/>
      <c r="Q83" s="634"/>
      <c r="R83" s="634"/>
      <c r="S83" s="100"/>
      <c r="T83" s="101"/>
      <c r="U83" s="100"/>
      <c r="V83" s="634"/>
      <c r="W83" s="634"/>
      <c r="X83" s="703"/>
      <c r="Y83" s="703"/>
      <c r="Z83" s="703"/>
      <c r="AA83" s="703"/>
      <c r="AB83" s="703"/>
      <c r="AC83" s="703"/>
      <c r="AD83" s="703"/>
      <c r="AE83" s="583"/>
      <c r="AF83" s="583"/>
      <c r="AG83" s="583"/>
      <c r="AH83" s="583"/>
      <c r="AI83" s="583"/>
      <c r="AJ83" s="583"/>
      <c r="AK83" s="583"/>
      <c r="AL83" s="583"/>
      <c r="AM83" s="583"/>
      <c r="AN83" s="583"/>
      <c r="AO83" s="583"/>
      <c r="AP83" s="583"/>
      <c r="AR83" s="119"/>
      <c r="AS83" s="119"/>
    </row>
    <row r="84" spans="1:45" ht="27" customHeight="1" x14ac:dyDescent="0.4">
      <c r="B84" s="644"/>
      <c r="C84" s="723"/>
      <c r="D84" s="723"/>
      <c r="E84" s="723"/>
      <c r="F84" s="583"/>
      <c r="G84" s="583"/>
      <c r="H84" s="583"/>
      <c r="I84" s="583"/>
      <c r="J84" s="721"/>
      <c r="K84" s="722"/>
      <c r="L84" s="722"/>
      <c r="M84" s="722"/>
      <c r="N84" s="722"/>
      <c r="O84" s="722"/>
      <c r="P84" s="722"/>
      <c r="Q84" s="634"/>
      <c r="R84" s="634"/>
      <c r="S84" s="100"/>
      <c r="T84" s="101"/>
      <c r="U84" s="100"/>
      <c r="V84" s="634"/>
      <c r="W84" s="634"/>
      <c r="X84" s="721"/>
      <c r="Y84" s="722"/>
      <c r="Z84" s="722"/>
      <c r="AA84" s="722"/>
      <c r="AB84" s="722"/>
      <c r="AC84" s="722"/>
      <c r="AD84" s="722"/>
      <c r="AE84" s="583"/>
      <c r="AF84" s="583"/>
      <c r="AG84" s="583"/>
      <c r="AH84" s="583"/>
      <c r="AI84" s="634"/>
      <c r="AJ84" s="583"/>
      <c r="AK84" s="583"/>
      <c r="AL84" s="583"/>
      <c r="AM84" s="583"/>
      <c r="AN84" s="583"/>
      <c r="AO84" s="583"/>
      <c r="AP84" s="583"/>
      <c r="AR84" s="119"/>
      <c r="AS84" s="119"/>
    </row>
    <row r="85" spans="1:45" ht="27" customHeight="1" x14ac:dyDescent="0.4">
      <c r="B85" s="644"/>
      <c r="C85" s="723"/>
      <c r="D85" s="723"/>
      <c r="E85" s="723"/>
      <c r="F85" s="583"/>
      <c r="G85" s="583"/>
      <c r="H85" s="583"/>
      <c r="I85" s="583"/>
      <c r="J85" s="722"/>
      <c r="K85" s="722"/>
      <c r="L85" s="722"/>
      <c r="M85" s="722"/>
      <c r="N85" s="722"/>
      <c r="O85" s="722"/>
      <c r="P85" s="722"/>
      <c r="Q85" s="634"/>
      <c r="R85" s="634"/>
      <c r="S85" s="100"/>
      <c r="T85" s="101"/>
      <c r="U85" s="100"/>
      <c r="V85" s="634"/>
      <c r="W85" s="634"/>
      <c r="X85" s="722"/>
      <c r="Y85" s="722"/>
      <c r="Z85" s="722"/>
      <c r="AA85" s="722"/>
      <c r="AB85" s="722"/>
      <c r="AC85" s="722"/>
      <c r="AD85" s="722"/>
      <c r="AE85" s="583"/>
      <c r="AF85" s="583"/>
      <c r="AG85" s="583"/>
      <c r="AH85" s="583"/>
      <c r="AI85" s="583"/>
      <c r="AJ85" s="583"/>
      <c r="AK85" s="583"/>
      <c r="AL85" s="583"/>
      <c r="AM85" s="583"/>
      <c r="AN85" s="583"/>
      <c r="AO85" s="583"/>
      <c r="AP85" s="583"/>
      <c r="AR85" s="119"/>
      <c r="AS85" s="119"/>
    </row>
    <row r="86" spans="1:45" ht="27" customHeight="1" x14ac:dyDescent="0.4">
      <c r="B86" s="644"/>
      <c r="C86" s="723"/>
      <c r="D86" s="723"/>
      <c r="E86" s="723"/>
      <c r="F86" s="583"/>
      <c r="G86" s="583"/>
      <c r="H86" s="583"/>
      <c r="I86" s="583"/>
      <c r="J86" s="721"/>
      <c r="K86" s="722"/>
      <c r="L86" s="722"/>
      <c r="M86" s="722"/>
      <c r="N86" s="722"/>
      <c r="O86" s="722"/>
      <c r="P86" s="722"/>
      <c r="Q86" s="634"/>
      <c r="R86" s="634"/>
      <c r="S86" s="100"/>
      <c r="T86" s="101"/>
      <c r="U86" s="100"/>
      <c r="V86" s="634"/>
      <c r="W86" s="634"/>
      <c r="X86" s="721"/>
      <c r="Y86" s="722"/>
      <c r="Z86" s="722"/>
      <c r="AA86" s="722"/>
      <c r="AB86" s="722"/>
      <c r="AC86" s="722"/>
      <c r="AD86" s="722"/>
      <c r="AE86" s="583"/>
      <c r="AF86" s="583"/>
      <c r="AG86" s="583"/>
      <c r="AH86" s="583"/>
      <c r="AI86" s="634"/>
      <c r="AJ86" s="583"/>
      <c r="AK86" s="583"/>
      <c r="AL86" s="583"/>
      <c r="AM86" s="583"/>
      <c r="AN86" s="583"/>
      <c r="AO86" s="583"/>
      <c r="AP86" s="583"/>
      <c r="AR86" s="119"/>
      <c r="AS86" s="119"/>
    </row>
    <row r="87" spans="1:45" ht="27" customHeight="1" x14ac:dyDescent="0.4">
      <c r="B87" s="644"/>
      <c r="C87" s="723"/>
      <c r="D87" s="723"/>
      <c r="E87" s="723"/>
      <c r="F87" s="583"/>
      <c r="G87" s="583"/>
      <c r="H87" s="583"/>
      <c r="I87" s="583"/>
      <c r="J87" s="722"/>
      <c r="K87" s="722"/>
      <c r="L87" s="722"/>
      <c r="M87" s="722"/>
      <c r="N87" s="722"/>
      <c r="O87" s="722"/>
      <c r="P87" s="722"/>
      <c r="Q87" s="634"/>
      <c r="R87" s="634"/>
      <c r="S87" s="100"/>
      <c r="T87" s="101"/>
      <c r="U87" s="100"/>
      <c r="V87" s="634"/>
      <c r="W87" s="634"/>
      <c r="X87" s="722"/>
      <c r="Y87" s="722"/>
      <c r="Z87" s="722"/>
      <c r="AA87" s="722"/>
      <c r="AB87" s="722"/>
      <c r="AC87" s="722"/>
      <c r="AD87" s="722"/>
      <c r="AE87" s="583"/>
      <c r="AF87" s="583"/>
      <c r="AG87" s="583"/>
      <c r="AH87" s="583"/>
      <c r="AI87" s="583"/>
      <c r="AJ87" s="583"/>
      <c r="AK87" s="583"/>
      <c r="AL87" s="583"/>
      <c r="AM87" s="583"/>
      <c r="AN87" s="583"/>
      <c r="AO87" s="583"/>
      <c r="AP87" s="583"/>
      <c r="AR87" s="119"/>
      <c r="AS87" s="119"/>
    </row>
    <row r="88" spans="1:45" ht="27" customHeight="1" x14ac:dyDescent="0.4">
      <c r="B88" s="644"/>
      <c r="C88" s="723"/>
      <c r="D88" s="723"/>
      <c r="E88" s="723"/>
      <c r="F88" s="583"/>
      <c r="G88" s="583"/>
      <c r="H88" s="583"/>
      <c r="I88" s="583"/>
      <c r="J88" s="721"/>
      <c r="K88" s="722"/>
      <c r="L88" s="722"/>
      <c r="M88" s="722"/>
      <c r="N88" s="722"/>
      <c r="O88" s="722"/>
      <c r="P88" s="722"/>
      <c r="Q88" s="634"/>
      <c r="R88" s="634"/>
      <c r="S88" s="100"/>
      <c r="T88" s="101"/>
      <c r="U88" s="100"/>
      <c r="V88" s="634"/>
      <c r="W88" s="634"/>
      <c r="X88" s="721"/>
      <c r="Y88" s="722"/>
      <c r="Z88" s="722"/>
      <c r="AA88" s="722"/>
      <c r="AB88" s="722"/>
      <c r="AC88" s="722"/>
      <c r="AD88" s="722"/>
      <c r="AE88" s="583"/>
      <c r="AF88" s="583"/>
      <c r="AG88" s="583"/>
      <c r="AH88" s="583"/>
      <c r="AI88" s="634"/>
      <c r="AJ88" s="583"/>
      <c r="AK88" s="583"/>
      <c r="AL88" s="583"/>
      <c r="AM88" s="583"/>
      <c r="AN88" s="583"/>
      <c r="AO88" s="583"/>
      <c r="AP88" s="583"/>
      <c r="AR88" s="119"/>
      <c r="AS88" s="119"/>
    </row>
    <row r="89" spans="1:45" ht="27" customHeight="1" x14ac:dyDescent="0.4">
      <c r="B89" s="644"/>
      <c r="C89" s="723"/>
      <c r="D89" s="723"/>
      <c r="E89" s="723"/>
      <c r="F89" s="583"/>
      <c r="G89" s="583"/>
      <c r="H89" s="583"/>
      <c r="I89" s="583"/>
      <c r="J89" s="722"/>
      <c r="K89" s="722"/>
      <c r="L89" s="722"/>
      <c r="M89" s="722"/>
      <c r="N89" s="722"/>
      <c r="O89" s="722"/>
      <c r="P89" s="722"/>
      <c r="Q89" s="634"/>
      <c r="R89" s="634"/>
      <c r="S89" s="100"/>
      <c r="T89" s="101"/>
      <c r="U89" s="100"/>
      <c r="V89" s="634"/>
      <c r="W89" s="634"/>
      <c r="X89" s="722"/>
      <c r="Y89" s="722"/>
      <c r="Z89" s="722"/>
      <c r="AA89" s="722"/>
      <c r="AB89" s="722"/>
      <c r="AC89" s="722"/>
      <c r="AD89" s="722"/>
      <c r="AE89" s="583"/>
      <c r="AF89" s="583"/>
      <c r="AG89" s="583"/>
      <c r="AH89" s="583"/>
      <c r="AI89" s="583"/>
      <c r="AJ89" s="583"/>
      <c r="AK89" s="583"/>
      <c r="AL89" s="583"/>
      <c r="AM89" s="583"/>
      <c r="AN89" s="583"/>
      <c r="AO89" s="583"/>
      <c r="AP89" s="583"/>
    </row>
    <row r="90" spans="1:45" ht="27" customHeight="1" thickBot="1" x14ac:dyDescent="0.45">
      <c r="A90" s="102"/>
      <c r="B90" s="103"/>
      <c r="C90" s="104"/>
      <c r="D90" s="104"/>
      <c r="E90" s="104"/>
      <c r="F90" s="103"/>
      <c r="G90" s="103"/>
      <c r="H90" s="103"/>
      <c r="I90" s="103"/>
      <c r="J90" s="103"/>
      <c r="K90" s="105"/>
      <c r="L90" s="105"/>
      <c r="M90" s="106"/>
      <c r="N90" s="107"/>
      <c r="O90" s="106"/>
      <c r="P90" s="105"/>
      <c r="Q90" s="105"/>
      <c r="R90" s="103"/>
      <c r="S90" s="103"/>
      <c r="T90" s="103"/>
      <c r="U90" s="103"/>
      <c r="V90" s="103"/>
      <c r="W90" s="108"/>
      <c r="X90" s="108"/>
      <c r="Y90" s="108"/>
      <c r="Z90" s="108"/>
      <c r="AA90" s="108"/>
      <c r="AB90" s="108"/>
      <c r="AC90" s="102"/>
    </row>
    <row r="91" spans="1:45" ht="27" customHeight="1" thickBot="1" x14ac:dyDescent="0.45">
      <c r="D91" s="664" t="s">
        <v>8</v>
      </c>
      <c r="E91" s="665"/>
      <c r="F91" s="665"/>
      <c r="G91" s="665"/>
      <c r="H91" s="665"/>
      <c r="I91" s="666"/>
      <c r="J91" s="667" t="s">
        <v>5</v>
      </c>
      <c r="K91" s="665"/>
      <c r="L91" s="665"/>
      <c r="M91" s="665"/>
      <c r="N91" s="665"/>
      <c r="O91" s="665"/>
      <c r="P91" s="665"/>
      <c r="Q91" s="666"/>
      <c r="R91" s="668" t="s">
        <v>9</v>
      </c>
      <c r="S91" s="669"/>
      <c r="T91" s="669"/>
      <c r="U91" s="669"/>
      <c r="V91" s="669"/>
      <c r="W91" s="669"/>
      <c r="X91" s="669"/>
      <c r="Y91" s="669"/>
      <c r="Z91" s="670"/>
      <c r="AA91" s="609" t="s">
        <v>10</v>
      </c>
      <c r="AB91" s="610"/>
      <c r="AC91" s="671"/>
      <c r="AD91" s="609" t="s">
        <v>11</v>
      </c>
      <c r="AE91" s="610"/>
      <c r="AF91" s="610"/>
      <c r="AG91" s="610"/>
      <c r="AH91" s="610"/>
      <c r="AI91" s="610"/>
      <c r="AJ91" s="610"/>
      <c r="AK91" s="610"/>
      <c r="AL91" s="610"/>
      <c r="AM91" s="611"/>
    </row>
    <row r="92" spans="1:45" ht="27" customHeight="1" x14ac:dyDescent="0.4">
      <c r="D92" s="651" t="s">
        <v>298</v>
      </c>
      <c r="E92" s="652"/>
      <c r="F92" s="652"/>
      <c r="G92" s="652"/>
      <c r="H92" s="652"/>
      <c r="I92" s="653"/>
      <c r="J92" s="654"/>
      <c r="K92" s="652"/>
      <c r="L92" s="652"/>
      <c r="M92" s="652"/>
      <c r="N92" s="652"/>
      <c r="O92" s="652"/>
      <c r="P92" s="652"/>
      <c r="Q92" s="653"/>
      <c r="R92" s="655"/>
      <c r="S92" s="656"/>
      <c r="T92" s="656"/>
      <c r="U92" s="656"/>
      <c r="V92" s="656"/>
      <c r="W92" s="656"/>
      <c r="X92" s="656"/>
      <c r="Y92" s="656"/>
      <c r="Z92" s="657"/>
      <c r="AA92" s="658"/>
      <c r="AB92" s="659"/>
      <c r="AC92" s="660"/>
      <c r="AD92" s="661"/>
      <c r="AE92" s="662"/>
      <c r="AF92" s="662"/>
      <c r="AG92" s="662"/>
      <c r="AH92" s="662"/>
      <c r="AI92" s="662"/>
      <c r="AJ92" s="662"/>
      <c r="AK92" s="662"/>
      <c r="AL92" s="662"/>
      <c r="AM92" s="663"/>
    </row>
    <row r="93" spans="1:45" ht="27" customHeight="1" x14ac:dyDescent="0.4">
      <c r="D93" s="688" t="s">
        <v>12</v>
      </c>
      <c r="E93" s="604"/>
      <c r="F93" s="604"/>
      <c r="G93" s="604"/>
      <c r="H93" s="604"/>
      <c r="I93" s="605"/>
      <c r="J93" s="603"/>
      <c r="K93" s="604"/>
      <c r="L93" s="604"/>
      <c r="M93" s="604"/>
      <c r="N93" s="604"/>
      <c r="O93" s="604"/>
      <c r="P93" s="604"/>
      <c r="Q93" s="605"/>
      <c r="R93" s="606"/>
      <c r="S93" s="607"/>
      <c r="T93" s="607"/>
      <c r="U93" s="607"/>
      <c r="V93" s="607"/>
      <c r="W93" s="607"/>
      <c r="X93" s="607"/>
      <c r="Y93" s="607"/>
      <c r="Z93" s="608"/>
      <c r="AA93" s="606"/>
      <c r="AB93" s="607"/>
      <c r="AC93" s="608"/>
      <c r="AD93" s="672"/>
      <c r="AE93" s="673"/>
      <c r="AF93" s="673"/>
      <c r="AG93" s="673"/>
      <c r="AH93" s="673"/>
      <c r="AI93" s="673"/>
      <c r="AJ93" s="673"/>
      <c r="AK93" s="673"/>
      <c r="AL93" s="673"/>
      <c r="AM93" s="674"/>
    </row>
    <row r="94" spans="1:45" ht="27" customHeight="1" thickBot="1" x14ac:dyDescent="0.45">
      <c r="D94" s="675" t="s">
        <v>12</v>
      </c>
      <c r="E94" s="676"/>
      <c r="F94" s="676"/>
      <c r="G94" s="676"/>
      <c r="H94" s="676"/>
      <c r="I94" s="677"/>
      <c r="J94" s="678"/>
      <c r="K94" s="676"/>
      <c r="L94" s="676"/>
      <c r="M94" s="676"/>
      <c r="N94" s="676"/>
      <c r="O94" s="676"/>
      <c r="P94" s="676"/>
      <c r="Q94" s="677"/>
      <c r="R94" s="679"/>
      <c r="S94" s="680"/>
      <c r="T94" s="680"/>
      <c r="U94" s="680"/>
      <c r="V94" s="680"/>
      <c r="W94" s="680"/>
      <c r="X94" s="680"/>
      <c r="Y94" s="680"/>
      <c r="Z94" s="681"/>
      <c r="AA94" s="682"/>
      <c r="AB94" s="683"/>
      <c r="AC94" s="684"/>
      <c r="AD94" s="685"/>
      <c r="AE94" s="686"/>
      <c r="AF94" s="686"/>
      <c r="AG94" s="686"/>
      <c r="AH94" s="686"/>
      <c r="AI94" s="686"/>
      <c r="AJ94" s="686"/>
      <c r="AK94" s="686"/>
      <c r="AL94" s="686"/>
      <c r="AM94" s="687"/>
    </row>
    <row r="95" spans="1:45" ht="27" customHeight="1" x14ac:dyDescent="0.4"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5"/>
      <c r="S95" s="105"/>
      <c r="T95" s="105"/>
      <c r="U95" s="105"/>
      <c r="V95" s="105"/>
      <c r="W95" s="105"/>
      <c r="X95" s="105"/>
      <c r="Y95" s="105"/>
      <c r="Z95" s="105"/>
      <c r="AA95" s="126"/>
      <c r="AB95" s="137"/>
      <c r="AC95" s="137"/>
      <c r="AD95" s="138"/>
      <c r="AE95" s="138"/>
      <c r="AF95" s="138"/>
      <c r="AG95" s="138"/>
      <c r="AH95" s="138"/>
      <c r="AI95" s="138"/>
      <c r="AJ95" s="138"/>
      <c r="AK95" s="138"/>
      <c r="AL95" s="120"/>
      <c r="AM95" s="120"/>
    </row>
    <row r="96" spans="1:45" ht="27" customHeight="1" x14ac:dyDescent="0.4">
      <c r="A96" s="115"/>
      <c r="B96" s="599" t="str">
        <f>U12組合せ!$B$1</f>
        <v>ＪＦＡ　Ｕ-１２サッカーリーグ2021（in栃木） 宇都宮地区リーグ戦（前期）</v>
      </c>
      <c r="C96" s="599"/>
      <c r="D96" s="599"/>
      <c r="E96" s="599"/>
      <c r="F96" s="599"/>
      <c r="G96" s="599"/>
      <c r="H96" s="599"/>
      <c r="I96" s="599"/>
      <c r="J96" s="599"/>
      <c r="K96" s="599"/>
      <c r="L96" s="599"/>
      <c r="M96" s="599"/>
      <c r="N96" s="599"/>
      <c r="O96" s="599"/>
      <c r="P96" s="599"/>
      <c r="Q96" s="599"/>
      <c r="R96" s="599"/>
      <c r="S96" s="599"/>
      <c r="T96" s="599"/>
      <c r="U96" s="599"/>
      <c r="V96" s="599"/>
      <c r="W96" s="599"/>
      <c r="X96" s="599"/>
      <c r="Y96" s="599"/>
      <c r="Z96" s="599"/>
      <c r="AA96" s="599"/>
      <c r="AB96" s="599"/>
      <c r="AC96" s="612" t="str">
        <f>"【"&amp;(U12組合せ!$F$3)&amp;"】"</f>
        <v>【Ｂ ブロック】</v>
      </c>
      <c r="AD96" s="612"/>
      <c r="AE96" s="612"/>
      <c r="AF96" s="612"/>
      <c r="AG96" s="612"/>
      <c r="AH96" s="612"/>
      <c r="AI96" s="612"/>
      <c r="AJ96" s="612"/>
      <c r="AK96" s="602" t="str">
        <f>"第"&amp;(U12組合せ!$D$27)</f>
        <v>第２節</v>
      </c>
      <c r="AL96" s="602"/>
      <c r="AM96" s="602"/>
      <c r="AN96" s="602"/>
      <c r="AO96" s="602"/>
      <c r="AP96" s="597" t="s">
        <v>299</v>
      </c>
      <c r="AQ96" s="598"/>
    </row>
    <row r="97" spans="1:45" ht="27" customHeight="1" x14ac:dyDescent="0.4">
      <c r="A97" s="115"/>
      <c r="B97" s="599"/>
      <c r="C97" s="599"/>
      <c r="D97" s="599"/>
      <c r="E97" s="599"/>
      <c r="F97" s="599"/>
      <c r="G97" s="599"/>
      <c r="H97" s="599"/>
      <c r="I97" s="599"/>
      <c r="J97" s="599"/>
      <c r="K97" s="599"/>
      <c r="L97" s="599"/>
      <c r="M97" s="599"/>
      <c r="N97" s="599"/>
      <c r="O97" s="599"/>
      <c r="P97" s="599"/>
      <c r="Q97" s="599"/>
      <c r="R97" s="599"/>
      <c r="S97" s="599"/>
      <c r="T97" s="599"/>
      <c r="U97" s="599"/>
      <c r="V97" s="599"/>
      <c r="W97" s="599"/>
      <c r="X97" s="599"/>
      <c r="Y97" s="599"/>
      <c r="Z97" s="599"/>
      <c r="AA97" s="599"/>
      <c r="AB97" s="599"/>
      <c r="AC97" s="601"/>
      <c r="AD97" s="601"/>
      <c r="AE97" s="601"/>
      <c r="AF97" s="601"/>
      <c r="AG97" s="601"/>
      <c r="AH97" s="601"/>
      <c r="AI97" s="601"/>
      <c r="AJ97" s="601"/>
      <c r="AK97" s="601"/>
      <c r="AL97" s="601"/>
      <c r="AM97" s="601"/>
      <c r="AN97" s="601"/>
      <c r="AO97" s="612"/>
      <c r="AP97" s="598"/>
      <c r="AQ97" s="598"/>
    </row>
    <row r="98" spans="1:45" ht="27" customHeight="1" x14ac:dyDescent="0.4">
      <c r="C98" s="635" t="s">
        <v>1</v>
      </c>
      <c r="D98" s="635"/>
      <c r="E98" s="635"/>
      <c r="F98" s="635"/>
      <c r="G98" s="725" t="str">
        <f>U12対戦スケジュール!I30</f>
        <v>平出南 AM</v>
      </c>
      <c r="H98" s="726"/>
      <c r="I98" s="726"/>
      <c r="J98" s="726"/>
      <c r="K98" s="726"/>
      <c r="L98" s="726"/>
      <c r="M98" s="726"/>
      <c r="N98" s="726"/>
      <c r="O98" s="727"/>
      <c r="P98" s="635" t="s">
        <v>0</v>
      </c>
      <c r="Q98" s="635"/>
      <c r="R98" s="635"/>
      <c r="S98" s="635"/>
      <c r="T98" s="636" t="str">
        <f>E100</f>
        <v>スポルト宇都宮U12</v>
      </c>
      <c r="U98" s="636"/>
      <c r="V98" s="636"/>
      <c r="W98" s="636"/>
      <c r="X98" s="636"/>
      <c r="Y98" s="636"/>
      <c r="Z98" s="636"/>
      <c r="AA98" s="636"/>
      <c r="AB98" s="636"/>
      <c r="AC98" s="635" t="s">
        <v>2</v>
      </c>
      <c r="AD98" s="635"/>
      <c r="AE98" s="635"/>
      <c r="AF98" s="635"/>
      <c r="AG98" s="618">
        <f>U12組合せ!B$27</f>
        <v>44310</v>
      </c>
      <c r="AH98" s="619"/>
      <c r="AI98" s="619"/>
      <c r="AJ98" s="619"/>
      <c r="AK98" s="619"/>
      <c r="AL98" s="619"/>
      <c r="AM98" s="620" t="str">
        <f>"（"&amp;TEXT(AG98,"aaa")&amp;"）"</f>
        <v>（土）</v>
      </c>
      <c r="AN98" s="620"/>
      <c r="AO98" s="621"/>
      <c r="AP98" s="116"/>
    </row>
    <row r="99" spans="1:45" ht="27" customHeight="1" x14ac:dyDescent="0.4">
      <c r="C99" s="96" t="str">
        <f>U12組合せ!G28</f>
        <v>B147</v>
      </c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95"/>
      <c r="X99" s="95"/>
      <c r="Y99" s="95"/>
      <c r="Z99" s="95"/>
      <c r="AA99" s="95"/>
      <c r="AB99" s="95"/>
      <c r="AC99" s="95"/>
    </row>
    <row r="100" spans="1:45" ht="27" customHeight="1" x14ac:dyDescent="0.4">
      <c r="C100" s="636">
        <v>1</v>
      </c>
      <c r="D100" s="636"/>
      <c r="E100" s="709" t="str">
        <f>VLOOKUP(C100,U12組合せ!B$10:K$19,5,TRUE)</f>
        <v>スポルト宇都宮U12</v>
      </c>
      <c r="F100" s="709"/>
      <c r="G100" s="709"/>
      <c r="H100" s="709"/>
      <c r="I100" s="709"/>
      <c r="J100" s="709"/>
      <c r="K100" s="709"/>
      <c r="L100" s="709"/>
      <c r="M100" s="709"/>
      <c r="N100" s="709"/>
      <c r="O100" s="94"/>
      <c r="P100" s="94"/>
      <c r="Q100" s="636">
        <v>4</v>
      </c>
      <c r="R100" s="636"/>
      <c r="S100" s="709" t="str">
        <f>VLOOKUP(Q100,U12組合せ!B$10:K$19,5,TRUE)</f>
        <v>昭和・戸祭SC</v>
      </c>
      <c r="T100" s="709"/>
      <c r="U100" s="709"/>
      <c r="V100" s="709"/>
      <c r="W100" s="709"/>
      <c r="X100" s="709"/>
      <c r="Y100" s="709"/>
      <c r="Z100" s="709"/>
      <c r="AA100" s="709"/>
      <c r="AB100" s="709"/>
      <c r="AC100" s="92"/>
      <c r="AD100" s="93"/>
      <c r="AE100" s="636">
        <v>7</v>
      </c>
      <c r="AF100" s="636"/>
      <c r="AG100" s="709" t="str">
        <f>VLOOKUP(AE100,U12組合せ!B$10:K$19,5,TRUE)</f>
        <v>上三川SC</v>
      </c>
      <c r="AH100" s="709"/>
      <c r="AI100" s="709"/>
      <c r="AJ100" s="709"/>
      <c r="AK100" s="709"/>
      <c r="AL100" s="709"/>
      <c r="AM100" s="709"/>
      <c r="AN100" s="709"/>
      <c r="AO100" s="709"/>
      <c r="AP100" s="709"/>
      <c r="AR100" s="96">
        <f>106/2</f>
        <v>53</v>
      </c>
    </row>
    <row r="101" spans="1:45" ht="27" customHeight="1" x14ac:dyDescent="0.4">
      <c r="C101" s="637">
        <v>2</v>
      </c>
      <c r="D101" s="637"/>
      <c r="E101" s="584" t="str">
        <f>VLOOKUP(C101,U12組合せ!B$10:K$19,5,TRUE)</f>
        <v>ウエストフットコム</v>
      </c>
      <c r="F101" s="584"/>
      <c r="G101" s="584"/>
      <c r="H101" s="584"/>
      <c r="I101" s="584"/>
      <c r="J101" s="584"/>
      <c r="K101" s="584"/>
      <c r="L101" s="584"/>
      <c r="M101" s="584"/>
      <c r="N101" s="584"/>
      <c r="O101" s="94"/>
      <c r="P101" s="94"/>
      <c r="Q101" s="637">
        <v>5</v>
      </c>
      <c r="R101" s="637"/>
      <c r="S101" s="584" t="str">
        <f>VLOOKUP(Q101,U12組合せ!B$10:K$19,5,TRUE)</f>
        <v>岡西FC</v>
      </c>
      <c r="T101" s="584"/>
      <c r="U101" s="584"/>
      <c r="V101" s="584"/>
      <c r="W101" s="584"/>
      <c r="X101" s="584"/>
      <c r="Y101" s="584"/>
      <c r="Z101" s="584"/>
      <c r="AA101" s="584"/>
      <c r="AB101" s="584"/>
      <c r="AC101" s="92"/>
      <c r="AD101" s="93"/>
      <c r="AE101" s="637">
        <v>8</v>
      </c>
      <c r="AF101" s="637"/>
      <c r="AG101" s="584" t="str">
        <f>VLOOKUP(AE101,U12組合せ!B$10:'U12組合せ'!K$19,5,TRUE)</f>
        <v>宇都宮FCジュニア</v>
      </c>
      <c r="AH101" s="584"/>
      <c r="AI101" s="584"/>
      <c r="AJ101" s="584"/>
      <c r="AK101" s="584"/>
      <c r="AL101" s="584"/>
      <c r="AM101" s="584"/>
      <c r="AN101" s="584"/>
      <c r="AO101" s="584"/>
      <c r="AP101" s="584"/>
      <c r="AR101" s="96">
        <v>32</v>
      </c>
    </row>
    <row r="102" spans="1:45" ht="27" customHeight="1" x14ac:dyDescent="0.4">
      <c r="C102" s="637">
        <v>3</v>
      </c>
      <c r="D102" s="637"/>
      <c r="E102" s="584" t="str">
        <f>VLOOKUP(C102,U12組合せ!B$10:K$19,5,TRUE)</f>
        <v>緑ヶ丘ＹＦＣ</v>
      </c>
      <c r="F102" s="584"/>
      <c r="G102" s="584"/>
      <c r="H102" s="584"/>
      <c r="I102" s="584"/>
      <c r="J102" s="584"/>
      <c r="K102" s="584"/>
      <c r="L102" s="584"/>
      <c r="M102" s="584"/>
      <c r="N102" s="584"/>
      <c r="O102" s="94"/>
      <c r="P102" s="94"/>
      <c r="Q102" s="637">
        <v>6</v>
      </c>
      <c r="R102" s="637"/>
      <c r="S102" s="584" t="str">
        <f>VLOOKUP(Q102,U12組合せ!B$10:K$19,5,TRUE)</f>
        <v>FCグラシアス</v>
      </c>
      <c r="T102" s="584"/>
      <c r="U102" s="584"/>
      <c r="V102" s="584"/>
      <c r="W102" s="584"/>
      <c r="X102" s="584"/>
      <c r="Y102" s="584"/>
      <c r="Z102" s="584"/>
      <c r="AA102" s="584"/>
      <c r="AB102" s="584"/>
      <c r="AC102" s="92"/>
      <c r="AD102" s="93"/>
      <c r="AE102" s="637">
        <v>9</v>
      </c>
      <c r="AF102" s="637"/>
      <c r="AG102" s="584" t="str">
        <f>VLOOKUP(AE102,U12組合せ!B$10:'U12組合せ'!K$19,5,TRUE)</f>
        <v>サウス宇都宮SC</v>
      </c>
      <c r="AH102" s="584"/>
      <c r="AI102" s="584"/>
      <c r="AJ102" s="584"/>
      <c r="AK102" s="584"/>
      <c r="AL102" s="584"/>
      <c r="AM102" s="584"/>
      <c r="AN102" s="584"/>
      <c r="AO102" s="584"/>
      <c r="AP102" s="584"/>
      <c r="AR102" s="96">
        <f>AR100-AR101</f>
        <v>21</v>
      </c>
    </row>
    <row r="103" spans="1:45" ht="27" customHeight="1" x14ac:dyDescent="0.4">
      <c r="A103" s="134"/>
      <c r="B103" s="135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5"/>
      <c r="P103" s="135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6"/>
      <c r="AD103" s="102"/>
      <c r="AE103" s="102"/>
      <c r="AF103" s="102"/>
      <c r="AG103" s="102"/>
    </row>
    <row r="104" spans="1:45" ht="27" customHeight="1" x14ac:dyDescent="0.4">
      <c r="C104" s="117"/>
      <c r="D104" s="118"/>
      <c r="E104" s="118"/>
      <c r="F104" s="118"/>
      <c r="G104" s="118"/>
      <c r="H104" s="118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18"/>
      <c r="U104" s="102"/>
      <c r="V104" s="118"/>
      <c r="W104" s="102"/>
      <c r="X104" s="118"/>
      <c r="Y104" s="102"/>
      <c r="Z104" s="118"/>
      <c r="AA104" s="102"/>
      <c r="AB104" s="118"/>
      <c r="AC104" s="118"/>
    </row>
    <row r="105" spans="1:45" ht="27" customHeight="1" x14ac:dyDescent="0.4">
      <c r="B105" s="118" t="str">
        <f ca="1">IF(B107="①","【監督会議 8：20～】","【監督会議 12：50～】")</f>
        <v>【監督会議 8：20～】</v>
      </c>
      <c r="I105" s="96" t="s">
        <v>330</v>
      </c>
    </row>
    <row r="106" spans="1:45" ht="27" customHeight="1" x14ac:dyDescent="0.4">
      <c r="B106" s="97"/>
      <c r="C106" s="711" t="s">
        <v>3</v>
      </c>
      <c r="D106" s="711"/>
      <c r="E106" s="711"/>
      <c r="F106" s="712" t="s">
        <v>4</v>
      </c>
      <c r="G106" s="712"/>
      <c r="H106" s="712"/>
      <c r="I106" s="712"/>
      <c r="J106" s="711" t="s">
        <v>5</v>
      </c>
      <c r="K106" s="713"/>
      <c r="L106" s="713"/>
      <c r="M106" s="713"/>
      <c r="N106" s="713"/>
      <c r="O106" s="713"/>
      <c r="P106" s="713"/>
      <c r="Q106" s="711" t="s">
        <v>329</v>
      </c>
      <c r="R106" s="711"/>
      <c r="S106" s="711"/>
      <c r="T106" s="711"/>
      <c r="U106" s="711"/>
      <c r="V106" s="711"/>
      <c r="W106" s="711"/>
      <c r="X106" s="711" t="s">
        <v>5</v>
      </c>
      <c r="Y106" s="713"/>
      <c r="Z106" s="713"/>
      <c r="AA106" s="713"/>
      <c r="AB106" s="713"/>
      <c r="AC106" s="713"/>
      <c r="AD106" s="713"/>
      <c r="AE106" s="712" t="s">
        <v>4</v>
      </c>
      <c r="AF106" s="712"/>
      <c r="AG106" s="712"/>
      <c r="AH106" s="712"/>
      <c r="AI106" s="711" t="s">
        <v>6</v>
      </c>
      <c r="AJ106" s="711"/>
      <c r="AK106" s="713"/>
      <c r="AL106" s="713"/>
      <c r="AM106" s="713"/>
      <c r="AN106" s="713"/>
      <c r="AO106" s="713"/>
      <c r="AP106" s="713"/>
    </row>
    <row r="107" spans="1:45" ht="27" customHeight="1" x14ac:dyDescent="0.4">
      <c r="B107" s="644" t="str">
        <f ca="1">DBCS(INDIRECT("U12対戦スケジュール!ｇ"&amp;(ROW()-1)/2-21))</f>
        <v>①</v>
      </c>
      <c r="C107" s="645">
        <f ca="1">INDIRECT("U12対戦スケジュール!ｈ"&amp;(ROW()-1)/2-21)</f>
        <v>0.375</v>
      </c>
      <c r="D107" s="646"/>
      <c r="E107" s="647"/>
      <c r="F107" s="583"/>
      <c r="G107" s="583"/>
      <c r="H107" s="583"/>
      <c r="I107" s="583"/>
      <c r="J107" s="746" t="str">
        <f ca="1">VLOOKUP(AR107,U12組合せ!B$10:K$19,5,TRUE)</f>
        <v>スポルト宇都宮U12</v>
      </c>
      <c r="K107" s="747"/>
      <c r="L107" s="747"/>
      <c r="M107" s="747"/>
      <c r="N107" s="747"/>
      <c r="O107" s="747"/>
      <c r="P107" s="747"/>
      <c r="Q107" s="635">
        <f>IF(OR(S107="",S108=""),"",S107+S108)</f>
        <v>1</v>
      </c>
      <c r="R107" s="635"/>
      <c r="S107" s="98">
        <v>1</v>
      </c>
      <c r="T107" s="99" t="s">
        <v>7</v>
      </c>
      <c r="U107" s="98">
        <v>0</v>
      </c>
      <c r="V107" s="635">
        <f>IF(OR(U107="",U108=""),"",U107+U108)</f>
        <v>0</v>
      </c>
      <c r="W107" s="635"/>
      <c r="X107" s="746" t="str">
        <f ca="1">VLOOKUP(AS107,U12組合せ!B$10:K$19,5,TRUE)</f>
        <v>昭和・戸祭SC</v>
      </c>
      <c r="Y107" s="747"/>
      <c r="Z107" s="747"/>
      <c r="AA107" s="747"/>
      <c r="AB107" s="747"/>
      <c r="AC107" s="747"/>
      <c r="AD107" s="747"/>
      <c r="AE107" s="583"/>
      <c r="AF107" s="583"/>
      <c r="AG107" s="583"/>
      <c r="AH107" s="583"/>
      <c r="AI107" s="634" t="str">
        <f ca="1">DBCS(INDIRECT("U12対戦スケジュール!L"&amp;(ROW()-1)/2-21))</f>
        <v>７／１／４／７</v>
      </c>
      <c r="AJ107" s="583"/>
      <c r="AK107" s="583"/>
      <c r="AL107" s="583"/>
      <c r="AM107" s="583"/>
      <c r="AN107" s="583"/>
      <c r="AO107" s="583"/>
      <c r="AP107" s="583"/>
      <c r="AR107" s="119">
        <f ca="1">INDIRECT("U12対戦スケジュール!I"&amp;(ROW()-1)/2-21)</f>
        <v>1</v>
      </c>
      <c r="AS107" s="119">
        <f ca="1">INDIRECT("U12対戦スケジュール!K"&amp;(ROW()-1)/2-21)</f>
        <v>4</v>
      </c>
    </row>
    <row r="108" spans="1:45" ht="27" customHeight="1" x14ac:dyDescent="0.4">
      <c r="B108" s="644"/>
      <c r="C108" s="648"/>
      <c r="D108" s="649"/>
      <c r="E108" s="650"/>
      <c r="F108" s="583"/>
      <c r="G108" s="583"/>
      <c r="H108" s="583"/>
      <c r="I108" s="583"/>
      <c r="J108" s="747"/>
      <c r="K108" s="747"/>
      <c r="L108" s="747"/>
      <c r="M108" s="747"/>
      <c r="N108" s="747"/>
      <c r="O108" s="747"/>
      <c r="P108" s="747"/>
      <c r="Q108" s="635"/>
      <c r="R108" s="635"/>
      <c r="S108" s="98">
        <v>0</v>
      </c>
      <c r="T108" s="99" t="s">
        <v>7</v>
      </c>
      <c r="U108" s="98">
        <v>0</v>
      </c>
      <c r="V108" s="635"/>
      <c r="W108" s="635"/>
      <c r="X108" s="747"/>
      <c r="Y108" s="747"/>
      <c r="Z108" s="747"/>
      <c r="AA108" s="747"/>
      <c r="AB108" s="747"/>
      <c r="AC108" s="747"/>
      <c r="AD108" s="747"/>
      <c r="AE108" s="583"/>
      <c r="AF108" s="583"/>
      <c r="AG108" s="583"/>
      <c r="AH108" s="583"/>
      <c r="AI108" s="583"/>
      <c r="AJ108" s="583"/>
      <c r="AK108" s="583"/>
      <c r="AL108" s="583"/>
      <c r="AM108" s="583"/>
      <c r="AN108" s="583"/>
      <c r="AO108" s="583"/>
      <c r="AP108" s="583"/>
      <c r="AR108" s="119"/>
      <c r="AS108" s="119"/>
    </row>
    <row r="109" spans="1:45" ht="27" customHeight="1" x14ac:dyDescent="0.4">
      <c r="B109" s="644" t="str">
        <f ca="1">DBCS(INDIRECT("U12対戦スケジュール!ｇ"&amp;(ROW()-1)/2-21))</f>
        <v>②</v>
      </c>
      <c r="C109" s="645">
        <f ca="1">INDIRECT("U12対戦スケジュール!ｈ"&amp;(ROW()-1)/2-21)</f>
        <v>0.41699999999999998</v>
      </c>
      <c r="D109" s="646"/>
      <c r="E109" s="647"/>
      <c r="F109" s="583"/>
      <c r="G109" s="583"/>
      <c r="H109" s="583"/>
      <c r="I109" s="583"/>
      <c r="J109" s="746" t="str">
        <f ca="1">VLOOKUP(AR109,U12組合せ!B$10:K$19,5,TRUE)</f>
        <v>上三川SC</v>
      </c>
      <c r="K109" s="747"/>
      <c r="L109" s="747"/>
      <c r="M109" s="747"/>
      <c r="N109" s="747"/>
      <c r="O109" s="747"/>
      <c r="P109" s="747"/>
      <c r="Q109" s="635">
        <f>IF(OR(S109="",S110=""),"",S109+S110)</f>
        <v>0</v>
      </c>
      <c r="R109" s="635"/>
      <c r="S109" s="98">
        <v>0</v>
      </c>
      <c r="T109" s="99" t="s">
        <v>7</v>
      </c>
      <c r="U109" s="98">
        <v>1</v>
      </c>
      <c r="V109" s="635">
        <f>IF(OR(U109="",U110=""),"",U109+U110)</f>
        <v>1</v>
      </c>
      <c r="W109" s="635"/>
      <c r="X109" s="746" t="str">
        <f ca="1">VLOOKUP(AS109,U12組合せ!B$10:K$19,5,TRUE)</f>
        <v>昭和・戸祭SC</v>
      </c>
      <c r="Y109" s="747"/>
      <c r="Z109" s="747"/>
      <c r="AA109" s="747"/>
      <c r="AB109" s="747"/>
      <c r="AC109" s="747"/>
      <c r="AD109" s="747"/>
      <c r="AE109" s="583"/>
      <c r="AF109" s="583"/>
      <c r="AG109" s="583"/>
      <c r="AH109" s="583"/>
      <c r="AI109" s="634" t="str">
        <f ca="1">DBCS(INDIRECT("U12対戦スケジュール!L"&amp;(ROW()-1)/2-21))</f>
        <v>１／４／７／１</v>
      </c>
      <c r="AJ109" s="583"/>
      <c r="AK109" s="583"/>
      <c r="AL109" s="583"/>
      <c r="AM109" s="583"/>
      <c r="AN109" s="583"/>
      <c r="AO109" s="583"/>
      <c r="AP109" s="583"/>
      <c r="AR109" s="119">
        <f ca="1">INDIRECT("U12対戦スケジュール!I"&amp;(ROW()-1)/2-21)</f>
        <v>7</v>
      </c>
      <c r="AS109" s="119">
        <f ca="1">INDIRECT("U12対戦スケジュール!K"&amp;(ROW()-1)/2-21)</f>
        <v>4</v>
      </c>
    </row>
    <row r="110" spans="1:45" ht="27" customHeight="1" x14ac:dyDescent="0.4">
      <c r="B110" s="644"/>
      <c r="C110" s="648"/>
      <c r="D110" s="649"/>
      <c r="E110" s="650"/>
      <c r="F110" s="583"/>
      <c r="G110" s="583"/>
      <c r="H110" s="583"/>
      <c r="I110" s="583"/>
      <c r="J110" s="747"/>
      <c r="K110" s="747"/>
      <c r="L110" s="747"/>
      <c r="M110" s="747"/>
      <c r="N110" s="747"/>
      <c r="O110" s="747"/>
      <c r="P110" s="747"/>
      <c r="Q110" s="635"/>
      <c r="R110" s="635"/>
      <c r="S110" s="98">
        <v>0</v>
      </c>
      <c r="T110" s="99" t="s">
        <v>7</v>
      </c>
      <c r="U110" s="98">
        <v>0</v>
      </c>
      <c r="V110" s="635"/>
      <c r="W110" s="635"/>
      <c r="X110" s="747"/>
      <c r="Y110" s="747"/>
      <c r="Z110" s="747"/>
      <c r="AA110" s="747"/>
      <c r="AB110" s="747"/>
      <c r="AC110" s="747"/>
      <c r="AD110" s="747"/>
      <c r="AE110" s="583"/>
      <c r="AF110" s="583"/>
      <c r="AG110" s="583"/>
      <c r="AH110" s="583"/>
      <c r="AI110" s="583"/>
      <c r="AJ110" s="583"/>
      <c r="AK110" s="583"/>
      <c r="AL110" s="583"/>
      <c r="AM110" s="583"/>
      <c r="AN110" s="583"/>
      <c r="AO110" s="583"/>
      <c r="AP110" s="583"/>
      <c r="AR110" s="119"/>
      <c r="AS110" s="119"/>
    </row>
    <row r="111" spans="1:45" ht="27" customHeight="1" x14ac:dyDescent="0.4">
      <c r="B111" s="644" t="str">
        <f ca="1">DBCS(INDIRECT("U12対戦スケジュール!ｇ"&amp;(ROW()-1)/2-21))</f>
        <v>③</v>
      </c>
      <c r="C111" s="645">
        <f ca="1">INDIRECT("U12対戦スケジュール!ｈ"&amp;(ROW()-1)/2-21)</f>
        <v>0.45899999999999996</v>
      </c>
      <c r="D111" s="646"/>
      <c r="E111" s="647"/>
      <c r="F111" s="583"/>
      <c r="G111" s="583"/>
      <c r="H111" s="583"/>
      <c r="I111" s="583"/>
      <c r="J111" s="746" t="str">
        <f ca="1">VLOOKUP(AR111,U12組合せ!B$10:K$19,5,TRUE)</f>
        <v>上三川SC</v>
      </c>
      <c r="K111" s="747"/>
      <c r="L111" s="747"/>
      <c r="M111" s="747"/>
      <c r="N111" s="747"/>
      <c r="O111" s="747"/>
      <c r="P111" s="747"/>
      <c r="Q111" s="635">
        <f>IF(OR(S111="",S112=""),"",S111+S112)</f>
        <v>2</v>
      </c>
      <c r="R111" s="635"/>
      <c r="S111" s="98">
        <v>0</v>
      </c>
      <c r="T111" s="99" t="s">
        <v>7</v>
      </c>
      <c r="U111" s="98">
        <v>2</v>
      </c>
      <c r="V111" s="635">
        <f>IF(OR(U111="",U112=""),"",U111+U112)</f>
        <v>2</v>
      </c>
      <c r="W111" s="635"/>
      <c r="X111" s="746" t="str">
        <f ca="1">VLOOKUP(AS111,U12組合せ!B$10:K$19,5,TRUE)</f>
        <v>スポルト宇都宮U12</v>
      </c>
      <c r="Y111" s="747"/>
      <c r="Z111" s="747"/>
      <c r="AA111" s="747"/>
      <c r="AB111" s="747"/>
      <c r="AC111" s="747"/>
      <c r="AD111" s="747"/>
      <c r="AE111" s="583"/>
      <c r="AF111" s="583"/>
      <c r="AG111" s="583"/>
      <c r="AH111" s="583"/>
      <c r="AI111" s="634" t="str">
        <f ca="1">DBCS(INDIRECT("U12対戦スケジュール!L"&amp;(ROW()-1)/2-21))</f>
        <v>４／７／１／４</v>
      </c>
      <c r="AJ111" s="583"/>
      <c r="AK111" s="583"/>
      <c r="AL111" s="583"/>
      <c r="AM111" s="583"/>
      <c r="AN111" s="583"/>
      <c r="AO111" s="583"/>
      <c r="AP111" s="583"/>
      <c r="AR111" s="119">
        <f ca="1">INDIRECT("U12対戦スケジュール!I"&amp;(ROW()-1)/2-21)</f>
        <v>7</v>
      </c>
      <c r="AS111" s="119">
        <f ca="1">INDIRECT("U12対戦スケジュール!K"&amp;(ROW()-1)/2-21)</f>
        <v>1</v>
      </c>
    </row>
    <row r="112" spans="1:45" ht="27" customHeight="1" x14ac:dyDescent="0.4">
      <c r="B112" s="644"/>
      <c r="C112" s="648"/>
      <c r="D112" s="649"/>
      <c r="E112" s="650"/>
      <c r="F112" s="583"/>
      <c r="G112" s="583"/>
      <c r="H112" s="583"/>
      <c r="I112" s="583"/>
      <c r="J112" s="747"/>
      <c r="K112" s="747"/>
      <c r="L112" s="747"/>
      <c r="M112" s="747"/>
      <c r="N112" s="747"/>
      <c r="O112" s="747"/>
      <c r="P112" s="747"/>
      <c r="Q112" s="635"/>
      <c r="R112" s="635"/>
      <c r="S112" s="98">
        <v>2</v>
      </c>
      <c r="T112" s="99" t="s">
        <v>7</v>
      </c>
      <c r="U112" s="98">
        <v>0</v>
      </c>
      <c r="V112" s="635"/>
      <c r="W112" s="635"/>
      <c r="X112" s="747"/>
      <c r="Y112" s="747"/>
      <c r="Z112" s="747"/>
      <c r="AA112" s="747"/>
      <c r="AB112" s="747"/>
      <c r="AC112" s="747"/>
      <c r="AD112" s="747"/>
      <c r="AE112" s="583"/>
      <c r="AF112" s="583"/>
      <c r="AG112" s="583"/>
      <c r="AH112" s="583"/>
      <c r="AI112" s="583"/>
      <c r="AJ112" s="583"/>
      <c r="AK112" s="583"/>
      <c r="AL112" s="583"/>
      <c r="AM112" s="583"/>
      <c r="AN112" s="583"/>
      <c r="AO112" s="583"/>
      <c r="AP112" s="583"/>
      <c r="AR112" s="119"/>
      <c r="AS112" s="119"/>
    </row>
    <row r="113" spans="1:45" ht="27" customHeight="1" x14ac:dyDescent="0.4">
      <c r="B113" s="644"/>
      <c r="C113" s="645"/>
      <c r="D113" s="646"/>
      <c r="E113" s="647"/>
      <c r="F113" s="583"/>
      <c r="G113" s="583"/>
      <c r="H113" s="583"/>
      <c r="I113" s="583"/>
      <c r="J113" s="720"/>
      <c r="K113" s="703"/>
      <c r="L113" s="703"/>
      <c r="M113" s="703"/>
      <c r="N113" s="703"/>
      <c r="O113" s="703"/>
      <c r="P113" s="703"/>
      <c r="Q113" s="634"/>
      <c r="R113" s="634"/>
      <c r="S113" s="100"/>
      <c r="T113" s="101"/>
      <c r="U113" s="100"/>
      <c r="V113" s="634"/>
      <c r="W113" s="634"/>
      <c r="X113" s="720"/>
      <c r="Y113" s="703"/>
      <c r="Z113" s="703"/>
      <c r="AA113" s="703"/>
      <c r="AB113" s="703"/>
      <c r="AC113" s="703"/>
      <c r="AD113" s="703"/>
      <c r="AE113" s="583"/>
      <c r="AF113" s="583"/>
      <c r="AG113" s="583"/>
      <c r="AH113" s="583"/>
      <c r="AI113" s="634"/>
      <c r="AJ113" s="583"/>
      <c r="AK113" s="583"/>
      <c r="AL113" s="583"/>
      <c r="AM113" s="583"/>
      <c r="AN113" s="583"/>
      <c r="AO113" s="583"/>
      <c r="AP113" s="583"/>
      <c r="AR113" s="119"/>
      <c r="AS113" s="119"/>
    </row>
    <row r="114" spans="1:45" ht="27" customHeight="1" x14ac:dyDescent="0.4">
      <c r="B114" s="644"/>
      <c r="C114" s="648"/>
      <c r="D114" s="649"/>
      <c r="E114" s="650"/>
      <c r="F114" s="583"/>
      <c r="G114" s="583"/>
      <c r="H114" s="583"/>
      <c r="I114" s="583"/>
      <c r="J114" s="703"/>
      <c r="K114" s="703"/>
      <c r="L114" s="703"/>
      <c r="M114" s="703"/>
      <c r="N114" s="703"/>
      <c r="O114" s="703"/>
      <c r="P114" s="703"/>
      <c r="Q114" s="634"/>
      <c r="R114" s="634"/>
      <c r="S114" s="100"/>
      <c r="T114" s="101"/>
      <c r="U114" s="100"/>
      <c r="V114" s="634"/>
      <c r="W114" s="634"/>
      <c r="X114" s="703"/>
      <c r="Y114" s="703"/>
      <c r="Z114" s="703"/>
      <c r="AA114" s="703"/>
      <c r="AB114" s="703"/>
      <c r="AC114" s="703"/>
      <c r="AD114" s="703"/>
      <c r="AE114" s="583"/>
      <c r="AF114" s="583"/>
      <c r="AG114" s="583"/>
      <c r="AH114" s="583"/>
      <c r="AI114" s="583"/>
      <c r="AJ114" s="583"/>
      <c r="AK114" s="583"/>
      <c r="AL114" s="583"/>
      <c r="AM114" s="583"/>
      <c r="AN114" s="583"/>
      <c r="AO114" s="583"/>
      <c r="AP114" s="583"/>
      <c r="AR114" s="119"/>
      <c r="AS114" s="119"/>
    </row>
    <row r="115" spans="1:45" ht="27" customHeight="1" x14ac:dyDescent="0.4">
      <c r="B115" s="644"/>
      <c r="C115" s="723"/>
      <c r="D115" s="723"/>
      <c r="E115" s="723"/>
      <c r="F115" s="583"/>
      <c r="G115" s="583"/>
      <c r="H115" s="583"/>
      <c r="I115" s="583"/>
      <c r="J115" s="721"/>
      <c r="K115" s="722"/>
      <c r="L115" s="722"/>
      <c r="M115" s="722"/>
      <c r="N115" s="722"/>
      <c r="O115" s="722"/>
      <c r="P115" s="722"/>
      <c r="Q115" s="634"/>
      <c r="R115" s="634"/>
      <c r="S115" s="100"/>
      <c r="T115" s="101"/>
      <c r="U115" s="100"/>
      <c r="V115" s="634"/>
      <c r="W115" s="634"/>
      <c r="X115" s="721"/>
      <c r="Y115" s="722"/>
      <c r="Z115" s="722"/>
      <c r="AA115" s="722"/>
      <c r="AB115" s="722"/>
      <c r="AC115" s="722"/>
      <c r="AD115" s="722"/>
      <c r="AE115" s="583"/>
      <c r="AF115" s="583"/>
      <c r="AG115" s="583"/>
      <c r="AH115" s="583"/>
      <c r="AI115" s="634"/>
      <c r="AJ115" s="583"/>
      <c r="AK115" s="583"/>
      <c r="AL115" s="583"/>
      <c r="AM115" s="583"/>
      <c r="AN115" s="583"/>
      <c r="AO115" s="583"/>
      <c r="AP115" s="583"/>
      <c r="AR115" s="119"/>
      <c r="AS115" s="119"/>
    </row>
    <row r="116" spans="1:45" ht="27" customHeight="1" x14ac:dyDescent="0.4">
      <c r="B116" s="644"/>
      <c r="C116" s="723"/>
      <c r="D116" s="723"/>
      <c r="E116" s="723"/>
      <c r="F116" s="583"/>
      <c r="G116" s="583"/>
      <c r="H116" s="583"/>
      <c r="I116" s="583"/>
      <c r="J116" s="722"/>
      <c r="K116" s="722"/>
      <c r="L116" s="722"/>
      <c r="M116" s="722"/>
      <c r="N116" s="722"/>
      <c r="O116" s="722"/>
      <c r="P116" s="722"/>
      <c r="Q116" s="634"/>
      <c r="R116" s="634"/>
      <c r="S116" s="100"/>
      <c r="T116" s="101"/>
      <c r="U116" s="100"/>
      <c r="V116" s="634"/>
      <c r="W116" s="634"/>
      <c r="X116" s="722"/>
      <c r="Y116" s="722"/>
      <c r="Z116" s="722"/>
      <c r="AA116" s="722"/>
      <c r="AB116" s="722"/>
      <c r="AC116" s="722"/>
      <c r="AD116" s="722"/>
      <c r="AE116" s="583"/>
      <c r="AF116" s="583"/>
      <c r="AG116" s="583"/>
      <c r="AH116" s="583"/>
      <c r="AI116" s="583"/>
      <c r="AJ116" s="583"/>
      <c r="AK116" s="583"/>
      <c r="AL116" s="583"/>
      <c r="AM116" s="583"/>
      <c r="AN116" s="583"/>
      <c r="AO116" s="583"/>
      <c r="AP116" s="583"/>
      <c r="AR116" s="119"/>
      <c r="AS116" s="119"/>
    </row>
    <row r="117" spans="1:45" ht="27" customHeight="1" x14ac:dyDescent="0.4">
      <c r="B117" s="644"/>
      <c r="C117" s="723"/>
      <c r="D117" s="723"/>
      <c r="E117" s="723"/>
      <c r="F117" s="583"/>
      <c r="G117" s="583"/>
      <c r="H117" s="583"/>
      <c r="I117" s="583"/>
      <c r="J117" s="721"/>
      <c r="K117" s="722"/>
      <c r="L117" s="722"/>
      <c r="M117" s="722"/>
      <c r="N117" s="722"/>
      <c r="O117" s="722"/>
      <c r="P117" s="722"/>
      <c r="Q117" s="634"/>
      <c r="R117" s="634"/>
      <c r="S117" s="100"/>
      <c r="T117" s="101"/>
      <c r="U117" s="100"/>
      <c r="V117" s="634"/>
      <c r="W117" s="634"/>
      <c r="X117" s="721"/>
      <c r="Y117" s="722"/>
      <c r="Z117" s="722"/>
      <c r="AA117" s="722"/>
      <c r="AB117" s="722"/>
      <c r="AC117" s="722"/>
      <c r="AD117" s="722"/>
      <c r="AE117" s="583"/>
      <c r="AF117" s="583"/>
      <c r="AG117" s="583"/>
      <c r="AH117" s="583"/>
      <c r="AI117" s="634"/>
      <c r="AJ117" s="583"/>
      <c r="AK117" s="583"/>
      <c r="AL117" s="583"/>
      <c r="AM117" s="583"/>
      <c r="AN117" s="583"/>
      <c r="AO117" s="583"/>
      <c r="AP117" s="583"/>
      <c r="AR117" s="119"/>
      <c r="AS117" s="119"/>
    </row>
    <row r="118" spans="1:45" ht="27" customHeight="1" x14ac:dyDescent="0.4">
      <c r="B118" s="644"/>
      <c r="C118" s="723"/>
      <c r="D118" s="723"/>
      <c r="E118" s="723"/>
      <c r="F118" s="583"/>
      <c r="G118" s="583"/>
      <c r="H118" s="583"/>
      <c r="I118" s="583"/>
      <c r="J118" s="722"/>
      <c r="K118" s="722"/>
      <c r="L118" s="722"/>
      <c r="M118" s="722"/>
      <c r="N118" s="722"/>
      <c r="O118" s="722"/>
      <c r="P118" s="722"/>
      <c r="Q118" s="634"/>
      <c r="R118" s="634"/>
      <c r="S118" s="100"/>
      <c r="T118" s="101"/>
      <c r="U118" s="100"/>
      <c r="V118" s="634"/>
      <c r="W118" s="634"/>
      <c r="X118" s="722"/>
      <c r="Y118" s="722"/>
      <c r="Z118" s="722"/>
      <c r="AA118" s="722"/>
      <c r="AB118" s="722"/>
      <c r="AC118" s="722"/>
      <c r="AD118" s="722"/>
      <c r="AE118" s="583"/>
      <c r="AF118" s="583"/>
      <c r="AG118" s="583"/>
      <c r="AH118" s="583"/>
      <c r="AI118" s="583"/>
      <c r="AJ118" s="583"/>
      <c r="AK118" s="583"/>
      <c r="AL118" s="583"/>
      <c r="AM118" s="583"/>
      <c r="AN118" s="583"/>
      <c r="AO118" s="583"/>
      <c r="AP118" s="583"/>
      <c r="AR118" s="119"/>
      <c r="AS118" s="119"/>
    </row>
    <row r="119" spans="1:45" ht="27" customHeight="1" x14ac:dyDescent="0.4">
      <c r="B119" s="644"/>
      <c r="C119" s="723"/>
      <c r="D119" s="723"/>
      <c r="E119" s="723"/>
      <c r="F119" s="583"/>
      <c r="G119" s="583"/>
      <c r="H119" s="583"/>
      <c r="I119" s="583"/>
      <c r="J119" s="721"/>
      <c r="K119" s="722"/>
      <c r="L119" s="722"/>
      <c r="M119" s="722"/>
      <c r="N119" s="722"/>
      <c r="O119" s="722"/>
      <c r="P119" s="722"/>
      <c r="Q119" s="634"/>
      <c r="R119" s="634"/>
      <c r="S119" s="100"/>
      <c r="T119" s="101"/>
      <c r="U119" s="100"/>
      <c r="V119" s="634"/>
      <c r="W119" s="634"/>
      <c r="X119" s="721"/>
      <c r="Y119" s="722"/>
      <c r="Z119" s="722"/>
      <c r="AA119" s="722"/>
      <c r="AB119" s="722"/>
      <c r="AC119" s="722"/>
      <c r="AD119" s="722"/>
      <c r="AE119" s="583"/>
      <c r="AF119" s="583"/>
      <c r="AG119" s="583"/>
      <c r="AH119" s="583"/>
      <c r="AI119" s="634"/>
      <c r="AJ119" s="583"/>
      <c r="AK119" s="583"/>
      <c r="AL119" s="583"/>
      <c r="AM119" s="583"/>
      <c r="AN119" s="583"/>
      <c r="AO119" s="583"/>
      <c r="AP119" s="583"/>
      <c r="AR119" s="119"/>
      <c r="AS119" s="119"/>
    </row>
    <row r="120" spans="1:45" ht="27" customHeight="1" x14ac:dyDescent="0.4">
      <c r="B120" s="644"/>
      <c r="C120" s="723"/>
      <c r="D120" s="723"/>
      <c r="E120" s="723"/>
      <c r="F120" s="583"/>
      <c r="G120" s="583"/>
      <c r="H120" s="583"/>
      <c r="I120" s="583"/>
      <c r="J120" s="722"/>
      <c r="K120" s="722"/>
      <c r="L120" s="722"/>
      <c r="M120" s="722"/>
      <c r="N120" s="722"/>
      <c r="O120" s="722"/>
      <c r="P120" s="722"/>
      <c r="Q120" s="634"/>
      <c r="R120" s="634"/>
      <c r="S120" s="100"/>
      <c r="T120" s="101"/>
      <c r="U120" s="100"/>
      <c r="V120" s="634"/>
      <c r="W120" s="634"/>
      <c r="X120" s="722"/>
      <c r="Y120" s="722"/>
      <c r="Z120" s="722"/>
      <c r="AA120" s="722"/>
      <c r="AB120" s="722"/>
      <c r="AC120" s="722"/>
      <c r="AD120" s="722"/>
      <c r="AE120" s="583"/>
      <c r="AF120" s="583"/>
      <c r="AG120" s="583"/>
      <c r="AH120" s="583"/>
      <c r="AI120" s="583"/>
      <c r="AJ120" s="583"/>
      <c r="AK120" s="583"/>
      <c r="AL120" s="583"/>
      <c r="AM120" s="583"/>
      <c r="AN120" s="583"/>
      <c r="AO120" s="583"/>
      <c r="AP120" s="583"/>
    </row>
    <row r="121" spans="1:45" ht="27" customHeight="1" thickBot="1" x14ac:dyDescent="0.45">
      <c r="A121" s="102"/>
      <c r="B121" s="103"/>
      <c r="C121" s="104"/>
      <c r="D121" s="104"/>
      <c r="E121" s="104"/>
      <c r="F121" s="103"/>
      <c r="G121" s="103"/>
      <c r="H121" s="103"/>
      <c r="I121" s="103"/>
      <c r="J121" s="103"/>
      <c r="K121" s="105"/>
      <c r="L121" s="105"/>
      <c r="M121" s="106"/>
      <c r="N121" s="107"/>
      <c r="O121" s="106"/>
      <c r="P121" s="105"/>
      <c r="Q121" s="105"/>
      <c r="R121" s="103"/>
      <c r="S121" s="103"/>
      <c r="T121" s="103"/>
      <c r="U121" s="103"/>
      <c r="V121" s="103"/>
      <c r="W121" s="108"/>
      <c r="X121" s="108"/>
      <c r="Y121" s="108"/>
      <c r="Z121" s="108"/>
      <c r="AA121" s="108"/>
      <c r="AB121" s="108"/>
      <c r="AC121" s="102"/>
    </row>
    <row r="122" spans="1:45" ht="27" customHeight="1" thickBot="1" x14ac:dyDescent="0.45">
      <c r="D122" s="664" t="s">
        <v>8</v>
      </c>
      <c r="E122" s="665"/>
      <c r="F122" s="665"/>
      <c r="G122" s="665"/>
      <c r="H122" s="665"/>
      <c r="I122" s="666"/>
      <c r="J122" s="667" t="s">
        <v>5</v>
      </c>
      <c r="K122" s="665"/>
      <c r="L122" s="665"/>
      <c r="M122" s="665"/>
      <c r="N122" s="665"/>
      <c r="O122" s="665"/>
      <c r="P122" s="665"/>
      <c r="Q122" s="666"/>
      <c r="R122" s="668" t="s">
        <v>9</v>
      </c>
      <c r="S122" s="669"/>
      <c r="T122" s="669"/>
      <c r="U122" s="669"/>
      <c r="V122" s="669"/>
      <c r="W122" s="669"/>
      <c r="X122" s="669"/>
      <c r="Y122" s="669"/>
      <c r="Z122" s="670"/>
      <c r="AA122" s="609" t="s">
        <v>10</v>
      </c>
      <c r="AB122" s="610"/>
      <c r="AC122" s="671"/>
      <c r="AD122" s="609" t="s">
        <v>11</v>
      </c>
      <c r="AE122" s="610"/>
      <c r="AF122" s="610"/>
      <c r="AG122" s="610"/>
      <c r="AH122" s="610"/>
      <c r="AI122" s="610"/>
      <c r="AJ122" s="610"/>
      <c r="AK122" s="610"/>
      <c r="AL122" s="610"/>
      <c r="AM122" s="611"/>
    </row>
    <row r="123" spans="1:45" ht="27" customHeight="1" x14ac:dyDescent="0.4">
      <c r="D123" s="651" t="s">
        <v>298</v>
      </c>
      <c r="E123" s="652"/>
      <c r="F123" s="652"/>
      <c r="G123" s="652"/>
      <c r="H123" s="652"/>
      <c r="I123" s="653"/>
      <c r="J123" s="654"/>
      <c r="K123" s="652"/>
      <c r="L123" s="652"/>
      <c r="M123" s="652"/>
      <c r="N123" s="652"/>
      <c r="O123" s="652"/>
      <c r="P123" s="652"/>
      <c r="Q123" s="653"/>
      <c r="R123" s="655"/>
      <c r="S123" s="656"/>
      <c r="T123" s="656"/>
      <c r="U123" s="656"/>
      <c r="V123" s="656"/>
      <c r="W123" s="656"/>
      <c r="X123" s="656"/>
      <c r="Y123" s="656"/>
      <c r="Z123" s="657"/>
      <c r="AA123" s="658"/>
      <c r="AB123" s="659"/>
      <c r="AC123" s="660"/>
      <c r="AD123" s="661"/>
      <c r="AE123" s="662"/>
      <c r="AF123" s="662"/>
      <c r="AG123" s="662"/>
      <c r="AH123" s="662"/>
      <c r="AI123" s="662"/>
      <c r="AJ123" s="662"/>
      <c r="AK123" s="662"/>
      <c r="AL123" s="662"/>
      <c r="AM123" s="663"/>
    </row>
    <row r="124" spans="1:45" ht="27" customHeight="1" x14ac:dyDescent="0.4">
      <c r="D124" s="688" t="s">
        <v>12</v>
      </c>
      <c r="E124" s="604"/>
      <c r="F124" s="604"/>
      <c r="G124" s="604"/>
      <c r="H124" s="604"/>
      <c r="I124" s="605"/>
      <c r="J124" s="603"/>
      <c r="K124" s="604"/>
      <c r="L124" s="604"/>
      <c r="M124" s="604"/>
      <c r="N124" s="604"/>
      <c r="O124" s="604"/>
      <c r="P124" s="604"/>
      <c r="Q124" s="605"/>
      <c r="R124" s="606"/>
      <c r="S124" s="607"/>
      <c r="T124" s="607"/>
      <c r="U124" s="607"/>
      <c r="V124" s="607"/>
      <c r="W124" s="607"/>
      <c r="X124" s="607"/>
      <c r="Y124" s="607"/>
      <c r="Z124" s="608"/>
      <c r="AA124" s="606"/>
      <c r="AB124" s="607"/>
      <c r="AC124" s="608"/>
      <c r="AD124" s="672"/>
      <c r="AE124" s="673"/>
      <c r="AF124" s="673"/>
      <c r="AG124" s="673"/>
      <c r="AH124" s="673"/>
      <c r="AI124" s="673"/>
      <c r="AJ124" s="673"/>
      <c r="AK124" s="673"/>
      <c r="AL124" s="673"/>
      <c r="AM124" s="674"/>
    </row>
    <row r="125" spans="1:45" ht="27" customHeight="1" thickBot="1" x14ac:dyDescent="0.45">
      <c r="D125" s="675" t="s">
        <v>12</v>
      </c>
      <c r="E125" s="676"/>
      <c r="F125" s="676"/>
      <c r="G125" s="676"/>
      <c r="H125" s="676"/>
      <c r="I125" s="677"/>
      <c r="J125" s="678"/>
      <c r="K125" s="676"/>
      <c r="L125" s="676"/>
      <c r="M125" s="676"/>
      <c r="N125" s="676"/>
      <c r="O125" s="676"/>
      <c r="P125" s="676"/>
      <c r="Q125" s="677"/>
      <c r="R125" s="679"/>
      <c r="S125" s="680"/>
      <c r="T125" s="680"/>
      <c r="U125" s="680"/>
      <c r="V125" s="680"/>
      <c r="W125" s="680"/>
      <c r="X125" s="680"/>
      <c r="Y125" s="680"/>
      <c r="Z125" s="681"/>
      <c r="AA125" s="682"/>
      <c r="AB125" s="683"/>
      <c r="AC125" s="684"/>
      <c r="AD125" s="685"/>
      <c r="AE125" s="686"/>
      <c r="AF125" s="686"/>
      <c r="AG125" s="686"/>
      <c r="AH125" s="686"/>
      <c r="AI125" s="686"/>
      <c r="AJ125" s="686"/>
      <c r="AK125" s="686"/>
      <c r="AL125" s="686"/>
      <c r="AM125" s="687"/>
    </row>
    <row r="126" spans="1:45" ht="27" customHeight="1" x14ac:dyDescent="0.4">
      <c r="B126" s="102"/>
      <c r="C126" s="102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7"/>
      <c r="AB126" s="107"/>
      <c r="AC126" s="107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02"/>
      <c r="AO126" s="102"/>
    </row>
    <row r="127" spans="1:45" ht="27" customHeight="1" x14ac:dyDescent="0.4">
      <c r="A127" s="115"/>
      <c r="B127" s="640" t="str">
        <f>U12組合せ!$B$1</f>
        <v>ＪＦＡ　Ｕ-１２サッカーリーグ2021（in栃木） 宇都宮地区リーグ戦（前期）</v>
      </c>
      <c r="C127" s="640"/>
      <c r="D127" s="640"/>
      <c r="E127" s="640"/>
      <c r="F127" s="640"/>
      <c r="G127" s="640"/>
      <c r="H127" s="640"/>
      <c r="I127" s="640"/>
      <c r="J127" s="640"/>
      <c r="K127" s="640"/>
      <c r="L127" s="640"/>
      <c r="M127" s="640"/>
      <c r="N127" s="640"/>
      <c r="O127" s="640"/>
      <c r="P127" s="640"/>
      <c r="Q127" s="640"/>
      <c r="R127" s="640"/>
      <c r="S127" s="640"/>
      <c r="T127" s="640"/>
      <c r="U127" s="640"/>
      <c r="V127" s="640"/>
      <c r="W127" s="640"/>
      <c r="X127" s="640"/>
      <c r="Y127" s="640"/>
      <c r="Z127" s="640"/>
      <c r="AA127" s="640"/>
      <c r="AB127" s="640"/>
      <c r="AC127" s="612" t="str">
        <f>"【"&amp;(U12組合せ!$F$3)&amp;"】"</f>
        <v>【Ｂ ブロック】</v>
      </c>
      <c r="AD127" s="612"/>
      <c r="AE127" s="612"/>
      <c r="AF127" s="612"/>
      <c r="AG127" s="612"/>
      <c r="AH127" s="612"/>
      <c r="AI127" s="612"/>
      <c r="AJ127" s="612"/>
      <c r="AK127" s="612" t="str">
        <f>"第"&amp;(U12組合せ!$D$27)</f>
        <v>第２節</v>
      </c>
      <c r="AL127" s="612"/>
      <c r="AM127" s="612"/>
      <c r="AN127" s="612"/>
      <c r="AO127" s="612"/>
      <c r="AP127" s="597" t="s">
        <v>300</v>
      </c>
      <c r="AQ127" s="598"/>
    </row>
    <row r="128" spans="1:45" ht="27" customHeight="1" x14ac:dyDescent="0.4">
      <c r="A128" s="115"/>
      <c r="B128" s="640"/>
      <c r="C128" s="640"/>
      <c r="D128" s="640"/>
      <c r="E128" s="640"/>
      <c r="F128" s="640"/>
      <c r="G128" s="640"/>
      <c r="H128" s="640"/>
      <c r="I128" s="640"/>
      <c r="J128" s="640"/>
      <c r="K128" s="640"/>
      <c r="L128" s="640"/>
      <c r="M128" s="640"/>
      <c r="N128" s="640"/>
      <c r="O128" s="640"/>
      <c r="P128" s="640"/>
      <c r="Q128" s="640"/>
      <c r="R128" s="640"/>
      <c r="S128" s="640"/>
      <c r="T128" s="640"/>
      <c r="U128" s="640"/>
      <c r="V128" s="640"/>
      <c r="W128" s="640"/>
      <c r="X128" s="640"/>
      <c r="Y128" s="640"/>
      <c r="Z128" s="640"/>
      <c r="AA128" s="640"/>
      <c r="AB128" s="640"/>
      <c r="AC128" s="601"/>
      <c r="AD128" s="601"/>
      <c r="AE128" s="601"/>
      <c r="AF128" s="601"/>
      <c r="AG128" s="601"/>
      <c r="AH128" s="601"/>
      <c r="AI128" s="601"/>
      <c r="AJ128" s="601"/>
      <c r="AK128" s="601"/>
      <c r="AL128" s="601"/>
      <c r="AM128" s="601"/>
      <c r="AN128" s="601"/>
      <c r="AO128" s="612"/>
      <c r="AP128" s="598"/>
      <c r="AQ128" s="598"/>
      <c r="AR128" s="115"/>
      <c r="AS128" s="115"/>
    </row>
    <row r="129" spans="2:45" ht="27" customHeight="1" x14ac:dyDescent="0.4">
      <c r="C129" s="635" t="s">
        <v>1</v>
      </c>
      <c r="D129" s="635"/>
      <c r="E129" s="635"/>
      <c r="F129" s="635"/>
      <c r="G129" s="725" t="str">
        <f>U12対戦スケジュール!I38</f>
        <v>石井 3 AM</v>
      </c>
      <c r="H129" s="726"/>
      <c r="I129" s="726"/>
      <c r="J129" s="726"/>
      <c r="K129" s="726"/>
      <c r="L129" s="726"/>
      <c r="M129" s="726"/>
      <c r="N129" s="726"/>
      <c r="O129" s="727"/>
      <c r="P129" s="635" t="s">
        <v>0</v>
      </c>
      <c r="Q129" s="635"/>
      <c r="R129" s="635"/>
      <c r="S129" s="635"/>
      <c r="T129" s="636" t="str">
        <f>AG132</f>
        <v>宇都宮FCジュニア</v>
      </c>
      <c r="U129" s="636"/>
      <c r="V129" s="636"/>
      <c r="W129" s="636"/>
      <c r="X129" s="636"/>
      <c r="Y129" s="636"/>
      <c r="Z129" s="636"/>
      <c r="AA129" s="636"/>
      <c r="AB129" s="636"/>
      <c r="AC129" s="635" t="s">
        <v>2</v>
      </c>
      <c r="AD129" s="635"/>
      <c r="AE129" s="635"/>
      <c r="AF129" s="635"/>
      <c r="AG129" s="618">
        <f>U12組合せ!B$27</f>
        <v>44310</v>
      </c>
      <c r="AH129" s="619"/>
      <c r="AI129" s="619"/>
      <c r="AJ129" s="619"/>
      <c r="AK129" s="619"/>
      <c r="AL129" s="619"/>
      <c r="AM129" s="620" t="str">
        <f>"（"&amp;TEXT(AG129,"aaa")&amp;"）"</f>
        <v>（土）</v>
      </c>
      <c r="AN129" s="620"/>
      <c r="AO129" s="621"/>
      <c r="AP129" s="116"/>
    </row>
    <row r="130" spans="2:45" ht="27" customHeight="1" x14ac:dyDescent="0.4">
      <c r="C130" s="96" t="str">
        <f>U12組合せ!G30</f>
        <v>B258</v>
      </c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95"/>
      <c r="X130" s="95"/>
      <c r="Y130" s="95"/>
      <c r="Z130" s="95"/>
      <c r="AA130" s="95"/>
      <c r="AB130" s="95"/>
      <c r="AC130" s="95"/>
    </row>
    <row r="131" spans="2:45" ht="27" customHeight="1" x14ac:dyDescent="0.4">
      <c r="C131" s="637">
        <v>1</v>
      </c>
      <c r="D131" s="637"/>
      <c r="E131" s="584" t="str">
        <f>VLOOKUP(C131,U12組合せ!B$10:K$19,5,TRUE)</f>
        <v>スポルト宇都宮U12</v>
      </c>
      <c r="F131" s="584"/>
      <c r="G131" s="584"/>
      <c r="H131" s="584"/>
      <c r="I131" s="584"/>
      <c r="J131" s="584"/>
      <c r="K131" s="584"/>
      <c r="L131" s="584"/>
      <c r="M131" s="584"/>
      <c r="N131" s="584"/>
      <c r="O131" s="94"/>
      <c r="P131" s="94"/>
      <c r="Q131" s="637">
        <v>4</v>
      </c>
      <c r="R131" s="637"/>
      <c r="S131" s="584" t="str">
        <f>VLOOKUP(Q131,U12組合せ!B$10:K$19,5,TRUE)</f>
        <v>昭和・戸祭SC</v>
      </c>
      <c r="T131" s="584"/>
      <c r="U131" s="584"/>
      <c r="V131" s="584"/>
      <c r="W131" s="584"/>
      <c r="X131" s="584"/>
      <c r="Y131" s="584"/>
      <c r="Z131" s="584"/>
      <c r="AA131" s="584"/>
      <c r="AB131" s="584"/>
      <c r="AC131" s="92"/>
      <c r="AD131" s="93"/>
      <c r="AE131" s="637">
        <v>7</v>
      </c>
      <c r="AF131" s="637"/>
      <c r="AG131" s="584" t="str">
        <f>VLOOKUP(AE131,U12組合せ!B$10:'U12組合せ'!K$19,5,TRUE)</f>
        <v>上三川SC</v>
      </c>
      <c r="AH131" s="584"/>
      <c r="AI131" s="584"/>
      <c r="AJ131" s="584"/>
      <c r="AK131" s="584"/>
      <c r="AL131" s="584"/>
      <c r="AM131" s="584"/>
      <c r="AN131" s="584"/>
      <c r="AO131" s="584"/>
      <c r="AP131" s="584"/>
    </row>
    <row r="132" spans="2:45" s="141" customFormat="1" ht="27" customHeight="1" x14ac:dyDescent="0.4">
      <c r="C132" s="636">
        <v>2</v>
      </c>
      <c r="D132" s="636"/>
      <c r="E132" s="709" t="str">
        <f>VLOOKUP(C132,U12組合せ!B$10:K$19,5,TRUE)</f>
        <v>ウエストフットコム</v>
      </c>
      <c r="F132" s="709"/>
      <c r="G132" s="709"/>
      <c r="H132" s="709"/>
      <c r="I132" s="709"/>
      <c r="J132" s="709"/>
      <c r="K132" s="709"/>
      <c r="L132" s="709"/>
      <c r="M132" s="709"/>
      <c r="N132" s="709"/>
      <c r="O132" s="140"/>
      <c r="P132" s="140"/>
      <c r="Q132" s="636">
        <v>5</v>
      </c>
      <c r="R132" s="636"/>
      <c r="S132" s="709" t="str">
        <f>VLOOKUP(Q132,U12組合せ!B$10:K$19,5,TRUE)</f>
        <v>岡西FC</v>
      </c>
      <c r="T132" s="709"/>
      <c r="U132" s="709"/>
      <c r="V132" s="709"/>
      <c r="W132" s="709"/>
      <c r="X132" s="709"/>
      <c r="Y132" s="709"/>
      <c r="Z132" s="709"/>
      <c r="AA132" s="709"/>
      <c r="AB132" s="709"/>
      <c r="AC132" s="92"/>
      <c r="AD132" s="139"/>
      <c r="AE132" s="636">
        <v>8</v>
      </c>
      <c r="AF132" s="636"/>
      <c r="AG132" s="709" t="str">
        <f>VLOOKUP(AE132,U12組合せ!B$10:'U12組合せ'!K$19,5,TRUE)</f>
        <v>宇都宮FCジュニア</v>
      </c>
      <c r="AH132" s="709"/>
      <c r="AI132" s="709"/>
      <c r="AJ132" s="709"/>
      <c r="AK132" s="709"/>
      <c r="AL132" s="709"/>
      <c r="AM132" s="709"/>
      <c r="AN132" s="709"/>
      <c r="AO132" s="709"/>
      <c r="AP132" s="709"/>
    </row>
    <row r="133" spans="2:45" ht="27" customHeight="1" x14ac:dyDescent="0.4">
      <c r="C133" s="637">
        <v>3</v>
      </c>
      <c r="D133" s="637"/>
      <c r="E133" s="584" t="str">
        <f>VLOOKUP(C133,U12組合せ!B$10:K$19,5,TRUE)</f>
        <v>緑ヶ丘ＹＦＣ</v>
      </c>
      <c r="F133" s="584"/>
      <c r="G133" s="584"/>
      <c r="H133" s="584"/>
      <c r="I133" s="584"/>
      <c r="J133" s="584"/>
      <c r="K133" s="584"/>
      <c r="L133" s="584"/>
      <c r="M133" s="584"/>
      <c r="N133" s="584"/>
      <c r="O133" s="94"/>
      <c r="P133" s="94"/>
      <c r="Q133" s="637">
        <v>6</v>
      </c>
      <c r="R133" s="637"/>
      <c r="S133" s="584" t="str">
        <f>VLOOKUP(Q133,U12組合せ!B$10:K$19,5,TRUE)</f>
        <v>FCグラシアス</v>
      </c>
      <c r="T133" s="584"/>
      <c r="U133" s="584"/>
      <c r="V133" s="584"/>
      <c r="W133" s="584"/>
      <c r="X133" s="584"/>
      <c r="Y133" s="584"/>
      <c r="Z133" s="584"/>
      <c r="AA133" s="584"/>
      <c r="AB133" s="584"/>
      <c r="AC133" s="92"/>
      <c r="AD133" s="93"/>
      <c r="AE133" s="637">
        <v>9</v>
      </c>
      <c r="AF133" s="637"/>
      <c r="AG133" s="584" t="str">
        <f>VLOOKUP(AE133,U12組合せ!B$10:'U12組合せ'!K$19,5,TRUE)</f>
        <v>サウス宇都宮SC</v>
      </c>
      <c r="AH133" s="584"/>
      <c r="AI133" s="584"/>
      <c r="AJ133" s="584"/>
      <c r="AK133" s="584"/>
      <c r="AL133" s="584"/>
      <c r="AM133" s="584"/>
      <c r="AN133" s="584"/>
      <c r="AO133" s="584"/>
      <c r="AP133" s="584"/>
      <c r="AR133" s="96">
        <f>138/2</f>
        <v>69</v>
      </c>
    </row>
    <row r="134" spans="2:45" ht="27" customHeight="1" x14ac:dyDescent="0.4">
      <c r="B134" s="102"/>
      <c r="O134" s="102"/>
      <c r="P134" s="102"/>
      <c r="AC134" s="95"/>
      <c r="AD134" s="102"/>
      <c r="AE134" s="102"/>
      <c r="AF134" s="102"/>
      <c r="AG134" s="102"/>
      <c r="AR134" s="96">
        <v>40</v>
      </c>
    </row>
    <row r="135" spans="2:45" ht="27" customHeight="1" x14ac:dyDescent="0.4">
      <c r="C135" s="117"/>
      <c r="D135" s="118"/>
      <c r="F135" s="118"/>
      <c r="G135" s="118"/>
      <c r="H135" s="118"/>
      <c r="I135" s="102"/>
      <c r="J135" s="102"/>
      <c r="K135" s="102"/>
      <c r="L135" s="102"/>
      <c r="M135" s="102"/>
      <c r="N135" s="102"/>
      <c r="O135" s="102"/>
      <c r="P135" s="102"/>
      <c r="Q135" s="96" t="s">
        <v>289</v>
      </c>
      <c r="R135" s="102"/>
      <c r="S135" s="102"/>
      <c r="T135" s="118"/>
      <c r="U135" s="102"/>
      <c r="V135" s="118"/>
      <c r="W135" s="102"/>
      <c r="X135" s="118"/>
      <c r="Y135" s="102"/>
      <c r="Z135" s="118"/>
      <c r="AA135" s="102"/>
      <c r="AB135" s="118"/>
      <c r="AC135" s="118"/>
      <c r="AR135" s="96">
        <f>AR133-AR134</f>
        <v>29</v>
      </c>
    </row>
    <row r="136" spans="2:45" ht="27" customHeight="1" x14ac:dyDescent="0.4">
      <c r="B136" s="118" t="str">
        <f ca="1">IF(B138="①","【監督会議 8：20～】","【監督会議 12：50～】")</f>
        <v>【監督会議 8：20～】</v>
      </c>
      <c r="I136" s="96" t="s">
        <v>330</v>
      </c>
    </row>
    <row r="137" spans="2:45" ht="27" customHeight="1" x14ac:dyDescent="0.4">
      <c r="B137" s="97"/>
      <c r="C137" s="711" t="s">
        <v>3</v>
      </c>
      <c r="D137" s="711"/>
      <c r="E137" s="711"/>
      <c r="F137" s="712" t="s">
        <v>4</v>
      </c>
      <c r="G137" s="712"/>
      <c r="H137" s="712"/>
      <c r="I137" s="712"/>
      <c r="J137" s="711" t="s">
        <v>5</v>
      </c>
      <c r="K137" s="713"/>
      <c r="L137" s="713"/>
      <c r="M137" s="713"/>
      <c r="N137" s="713"/>
      <c r="O137" s="713"/>
      <c r="P137" s="713"/>
      <c r="Q137" s="711" t="s">
        <v>329</v>
      </c>
      <c r="R137" s="711"/>
      <c r="S137" s="711"/>
      <c r="T137" s="711"/>
      <c r="U137" s="711"/>
      <c r="V137" s="711"/>
      <c r="W137" s="711"/>
      <c r="X137" s="711" t="s">
        <v>5</v>
      </c>
      <c r="Y137" s="713"/>
      <c r="Z137" s="713"/>
      <c r="AA137" s="713"/>
      <c r="AB137" s="713"/>
      <c r="AC137" s="713"/>
      <c r="AD137" s="713"/>
      <c r="AE137" s="712" t="s">
        <v>4</v>
      </c>
      <c r="AF137" s="712"/>
      <c r="AG137" s="712"/>
      <c r="AH137" s="712"/>
      <c r="AI137" s="711" t="s">
        <v>6</v>
      </c>
      <c r="AJ137" s="711"/>
      <c r="AK137" s="713"/>
      <c r="AL137" s="713"/>
      <c r="AM137" s="713"/>
      <c r="AN137" s="713"/>
      <c r="AO137" s="713"/>
      <c r="AP137" s="713"/>
    </row>
    <row r="138" spans="2:45" ht="27" customHeight="1" x14ac:dyDescent="0.4">
      <c r="B138" s="644" t="str">
        <f ca="1">DBCS(INDIRECT("U12対戦スケジュール!ｇ"&amp;(ROW())/2-29))</f>
        <v>①</v>
      </c>
      <c r="C138" s="645">
        <f ca="1">INDIRECT("U12対戦スケジュール!ｈ"&amp;(ROW())/2-29)</f>
        <v>0.375</v>
      </c>
      <c r="D138" s="646"/>
      <c r="E138" s="647"/>
      <c r="F138" s="583"/>
      <c r="G138" s="583"/>
      <c r="H138" s="583"/>
      <c r="I138" s="583"/>
      <c r="J138" s="746" t="str">
        <f ca="1">VLOOKUP(AR138,U12組合せ!B$10:K$19,5,TRUE)</f>
        <v>ウエストフットコム</v>
      </c>
      <c r="K138" s="747"/>
      <c r="L138" s="747"/>
      <c r="M138" s="747"/>
      <c r="N138" s="747"/>
      <c r="O138" s="747"/>
      <c r="P138" s="747"/>
      <c r="Q138" s="635">
        <f>IF(OR(S138="",S139=""),"",S138+S139)</f>
        <v>3</v>
      </c>
      <c r="R138" s="635"/>
      <c r="S138" s="98">
        <v>1</v>
      </c>
      <c r="T138" s="99" t="s">
        <v>7</v>
      </c>
      <c r="U138" s="98">
        <v>0</v>
      </c>
      <c r="V138" s="635">
        <f>IF(OR(U138="",U139=""),"",U138+U139)</f>
        <v>1</v>
      </c>
      <c r="W138" s="635"/>
      <c r="X138" s="746" t="str">
        <f ca="1">VLOOKUP(AS138,U12組合せ!B$10:K$19,5,TRUE)</f>
        <v>岡西FC</v>
      </c>
      <c r="Y138" s="747"/>
      <c r="Z138" s="747"/>
      <c r="AA138" s="747"/>
      <c r="AB138" s="747"/>
      <c r="AC138" s="747"/>
      <c r="AD138" s="747"/>
      <c r="AE138" s="583"/>
      <c r="AF138" s="583"/>
      <c r="AG138" s="583"/>
      <c r="AH138" s="583"/>
      <c r="AI138" s="634" t="str">
        <f ca="1">DBCS(INDIRECT("U12対戦スケジュール!L"&amp;(ROW())/2-29))</f>
        <v>８／２／５／８</v>
      </c>
      <c r="AJ138" s="583"/>
      <c r="AK138" s="583"/>
      <c r="AL138" s="583"/>
      <c r="AM138" s="583"/>
      <c r="AN138" s="583"/>
      <c r="AO138" s="583"/>
      <c r="AP138" s="583"/>
      <c r="AR138" s="119">
        <f ca="1">INDIRECT("U12対戦スケジュール!I"&amp;(ROW())/2-29)</f>
        <v>2</v>
      </c>
      <c r="AS138" s="119">
        <f ca="1">INDIRECT("U12対戦スケジュール!K"&amp;(ROW())/2-29)</f>
        <v>5</v>
      </c>
    </row>
    <row r="139" spans="2:45" ht="27" customHeight="1" x14ac:dyDescent="0.4">
      <c r="B139" s="644"/>
      <c r="C139" s="648"/>
      <c r="D139" s="649"/>
      <c r="E139" s="650"/>
      <c r="F139" s="583"/>
      <c r="G139" s="583"/>
      <c r="H139" s="583"/>
      <c r="I139" s="583"/>
      <c r="J139" s="747"/>
      <c r="K139" s="747"/>
      <c r="L139" s="747"/>
      <c r="M139" s="747"/>
      <c r="N139" s="747"/>
      <c r="O139" s="747"/>
      <c r="P139" s="747"/>
      <c r="Q139" s="635"/>
      <c r="R139" s="635"/>
      <c r="S139" s="98">
        <v>2</v>
      </c>
      <c r="T139" s="99" t="s">
        <v>7</v>
      </c>
      <c r="U139" s="98">
        <v>1</v>
      </c>
      <c r="V139" s="635"/>
      <c r="W139" s="635"/>
      <c r="X139" s="747"/>
      <c r="Y139" s="747"/>
      <c r="Z139" s="747"/>
      <c r="AA139" s="747"/>
      <c r="AB139" s="747"/>
      <c r="AC139" s="747"/>
      <c r="AD139" s="747"/>
      <c r="AE139" s="583"/>
      <c r="AF139" s="583"/>
      <c r="AG139" s="583"/>
      <c r="AH139" s="583"/>
      <c r="AI139" s="583"/>
      <c r="AJ139" s="583"/>
      <c r="AK139" s="583"/>
      <c r="AL139" s="583"/>
      <c r="AM139" s="583"/>
      <c r="AN139" s="583"/>
      <c r="AO139" s="583"/>
      <c r="AP139" s="583"/>
      <c r="AR139" s="119"/>
      <c r="AS139" s="119"/>
    </row>
    <row r="140" spans="2:45" ht="27" customHeight="1" x14ac:dyDescent="0.4">
      <c r="B140" s="644" t="str">
        <f ca="1">DBCS(INDIRECT("U12対戦スケジュール!ｇ"&amp;(ROW())/2-29))</f>
        <v>②</v>
      </c>
      <c r="C140" s="645">
        <f ca="1">INDIRECT("U12対戦スケジュール!ｈ"&amp;(ROW())/2-29)</f>
        <v>0.41699999999999998</v>
      </c>
      <c r="D140" s="646"/>
      <c r="E140" s="647"/>
      <c r="F140" s="583"/>
      <c r="G140" s="583"/>
      <c r="H140" s="583"/>
      <c r="I140" s="583"/>
      <c r="J140" s="746" t="str">
        <f ca="1">VLOOKUP(AR140,U12組合せ!B$10:K$19,5,TRUE)</f>
        <v>宇都宮FCジュニア</v>
      </c>
      <c r="K140" s="747"/>
      <c r="L140" s="747"/>
      <c r="M140" s="747"/>
      <c r="N140" s="747"/>
      <c r="O140" s="747"/>
      <c r="P140" s="747"/>
      <c r="Q140" s="635">
        <f>IF(OR(S140="",S141=""),"",S140+S141)</f>
        <v>1</v>
      </c>
      <c r="R140" s="635"/>
      <c r="S140" s="98">
        <v>0</v>
      </c>
      <c r="T140" s="99" t="s">
        <v>7</v>
      </c>
      <c r="U140" s="98">
        <v>1</v>
      </c>
      <c r="V140" s="635">
        <f>IF(OR(U140="",U141=""),"",U140+U141)</f>
        <v>2</v>
      </c>
      <c r="W140" s="635"/>
      <c r="X140" s="746" t="str">
        <f ca="1">VLOOKUP(AS140,U12組合せ!B$10:K$19,5,TRUE)</f>
        <v>岡西FC</v>
      </c>
      <c r="Y140" s="747"/>
      <c r="Z140" s="747"/>
      <c r="AA140" s="747"/>
      <c r="AB140" s="747"/>
      <c r="AC140" s="747"/>
      <c r="AD140" s="747"/>
      <c r="AE140" s="583"/>
      <c r="AF140" s="583"/>
      <c r="AG140" s="583"/>
      <c r="AH140" s="583"/>
      <c r="AI140" s="634" t="str">
        <f ca="1">DBCS(INDIRECT("U12対戦スケジュール!L"&amp;(ROW())/2-29))</f>
        <v>２／５／８／２</v>
      </c>
      <c r="AJ140" s="583"/>
      <c r="AK140" s="583"/>
      <c r="AL140" s="583"/>
      <c r="AM140" s="583"/>
      <c r="AN140" s="583"/>
      <c r="AO140" s="583"/>
      <c r="AP140" s="583"/>
      <c r="AR140" s="119">
        <f ca="1">INDIRECT("U12対戦スケジュール!I"&amp;(ROW())/2-29)</f>
        <v>8</v>
      </c>
      <c r="AS140" s="119">
        <f ca="1">INDIRECT("U12対戦スケジュール!K"&amp;(ROW())/2-29)</f>
        <v>5</v>
      </c>
    </row>
    <row r="141" spans="2:45" ht="27" customHeight="1" x14ac:dyDescent="0.4">
      <c r="B141" s="644"/>
      <c r="C141" s="648"/>
      <c r="D141" s="649"/>
      <c r="E141" s="650"/>
      <c r="F141" s="583"/>
      <c r="G141" s="583"/>
      <c r="H141" s="583"/>
      <c r="I141" s="583"/>
      <c r="J141" s="747"/>
      <c r="K141" s="747"/>
      <c r="L141" s="747"/>
      <c r="M141" s="747"/>
      <c r="N141" s="747"/>
      <c r="O141" s="747"/>
      <c r="P141" s="747"/>
      <c r="Q141" s="635"/>
      <c r="R141" s="635"/>
      <c r="S141" s="98">
        <v>1</v>
      </c>
      <c r="T141" s="99" t="s">
        <v>7</v>
      </c>
      <c r="U141" s="98">
        <v>1</v>
      </c>
      <c r="V141" s="635"/>
      <c r="W141" s="635"/>
      <c r="X141" s="747"/>
      <c r="Y141" s="747"/>
      <c r="Z141" s="747"/>
      <c r="AA141" s="747"/>
      <c r="AB141" s="747"/>
      <c r="AC141" s="747"/>
      <c r="AD141" s="747"/>
      <c r="AE141" s="583"/>
      <c r="AF141" s="583"/>
      <c r="AG141" s="583"/>
      <c r="AH141" s="583"/>
      <c r="AI141" s="583"/>
      <c r="AJ141" s="583"/>
      <c r="AK141" s="583"/>
      <c r="AL141" s="583"/>
      <c r="AM141" s="583"/>
      <c r="AN141" s="583"/>
      <c r="AO141" s="583"/>
      <c r="AP141" s="583"/>
      <c r="AR141" s="119"/>
      <c r="AS141" s="119"/>
    </row>
    <row r="142" spans="2:45" ht="27" customHeight="1" x14ac:dyDescent="0.4">
      <c r="B142" s="644" t="str">
        <f ca="1">DBCS(INDIRECT("U12対戦スケジュール!ｇ"&amp;(ROW())/2-29))</f>
        <v>③</v>
      </c>
      <c r="C142" s="645">
        <f ca="1">INDIRECT("U12対戦スケジュール!ｈ"&amp;(ROW())/2-29)</f>
        <v>0.45899999999999996</v>
      </c>
      <c r="D142" s="646"/>
      <c r="E142" s="647"/>
      <c r="F142" s="583"/>
      <c r="G142" s="583"/>
      <c r="H142" s="583"/>
      <c r="I142" s="583"/>
      <c r="J142" s="746" t="str">
        <f ca="1">VLOOKUP(AR142,U12組合せ!B$10:K$19,5,TRUE)</f>
        <v>宇都宮FCジュニア</v>
      </c>
      <c r="K142" s="747"/>
      <c r="L142" s="747"/>
      <c r="M142" s="747"/>
      <c r="N142" s="747"/>
      <c r="O142" s="747"/>
      <c r="P142" s="747"/>
      <c r="Q142" s="635">
        <f>IF(OR(S142="",S143=""),"",S142+S143)</f>
        <v>0</v>
      </c>
      <c r="R142" s="635"/>
      <c r="S142" s="98">
        <v>0</v>
      </c>
      <c r="T142" s="99" t="s">
        <v>7</v>
      </c>
      <c r="U142" s="98">
        <v>5</v>
      </c>
      <c r="V142" s="635">
        <f>IF(OR(U142="",U143=""),"",U142+U143)</f>
        <v>5</v>
      </c>
      <c r="W142" s="635"/>
      <c r="X142" s="746" t="str">
        <f ca="1">VLOOKUP(AS142,U12組合せ!B$10:K$19,5,TRUE)</f>
        <v>ウエストフットコム</v>
      </c>
      <c r="Y142" s="747"/>
      <c r="Z142" s="747"/>
      <c r="AA142" s="747"/>
      <c r="AB142" s="747"/>
      <c r="AC142" s="747"/>
      <c r="AD142" s="747"/>
      <c r="AE142" s="583"/>
      <c r="AF142" s="583"/>
      <c r="AG142" s="583"/>
      <c r="AH142" s="583"/>
      <c r="AI142" s="634" t="str">
        <f ca="1">DBCS(INDIRECT("U12対戦スケジュール!L"&amp;(ROW())/2-29))</f>
        <v>５／８／２／５</v>
      </c>
      <c r="AJ142" s="583"/>
      <c r="AK142" s="583"/>
      <c r="AL142" s="583"/>
      <c r="AM142" s="583"/>
      <c r="AN142" s="583"/>
      <c r="AO142" s="583"/>
      <c r="AP142" s="583"/>
      <c r="AR142" s="119">
        <f ca="1">INDIRECT("U12対戦スケジュール!I"&amp;(ROW())/2-29)</f>
        <v>8</v>
      </c>
      <c r="AS142" s="119">
        <f ca="1">INDIRECT("U12対戦スケジュール!K"&amp;(ROW())/2-29)</f>
        <v>2</v>
      </c>
    </row>
    <row r="143" spans="2:45" ht="27" customHeight="1" x14ac:dyDescent="0.4">
      <c r="B143" s="644"/>
      <c r="C143" s="648"/>
      <c r="D143" s="649"/>
      <c r="E143" s="650"/>
      <c r="F143" s="583"/>
      <c r="G143" s="583"/>
      <c r="H143" s="583"/>
      <c r="I143" s="583"/>
      <c r="J143" s="747"/>
      <c r="K143" s="747"/>
      <c r="L143" s="747"/>
      <c r="M143" s="747"/>
      <c r="N143" s="747"/>
      <c r="O143" s="747"/>
      <c r="P143" s="747"/>
      <c r="Q143" s="635"/>
      <c r="R143" s="635"/>
      <c r="S143" s="98">
        <v>0</v>
      </c>
      <c r="T143" s="99" t="s">
        <v>7</v>
      </c>
      <c r="U143" s="98">
        <v>0</v>
      </c>
      <c r="V143" s="635"/>
      <c r="W143" s="635"/>
      <c r="X143" s="747"/>
      <c r="Y143" s="747"/>
      <c r="Z143" s="747"/>
      <c r="AA143" s="747"/>
      <c r="AB143" s="747"/>
      <c r="AC143" s="747"/>
      <c r="AD143" s="747"/>
      <c r="AE143" s="583"/>
      <c r="AF143" s="583"/>
      <c r="AG143" s="583"/>
      <c r="AH143" s="583"/>
      <c r="AI143" s="583"/>
      <c r="AJ143" s="583"/>
      <c r="AK143" s="583"/>
      <c r="AL143" s="583"/>
      <c r="AM143" s="583"/>
      <c r="AN143" s="583"/>
      <c r="AO143" s="583"/>
      <c r="AP143" s="583"/>
      <c r="AR143" s="119"/>
      <c r="AS143" s="119"/>
    </row>
    <row r="144" spans="2:45" ht="27" customHeight="1" x14ac:dyDescent="0.4">
      <c r="B144" s="644"/>
      <c r="C144" s="645"/>
      <c r="D144" s="646"/>
      <c r="E144" s="647"/>
      <c r="F144" s="583"/>
      <c r="G144" s="583"/>
      <c r="H144" s="583"/>
      <c r="I144" s="583"/>
      <c r="J144" s="720"/>
      <c r="K144" s="703"/>
      <c r="L144" s="703"/>
      <c r="M144" s="703"/>
      <c r="N144" s="703"/>
      <c r="O144" s="703"/>
      <c r="P144" s="703"/>
      <c r="Q144" s="634"/>
      <c r="R144" s="634"/>
      <c r="S144" s="100"/>
      <c r="T144" s="101"/>
      <c r="U144" s="100"/>
      <c r="V144" s="634"/>
      <c r="W144" s="634"/>
      <c r="X144" s="720"/>
      <c r="Y144" s="703"/>
      <c r="Z144" s="703"/>
      <c r="AA144" s="703"/>
      <c r="AB144" s="703"/>
      <c r="AC144" s="703"/>
      <c r="AD144" s="703"/>
      <c r="AE144" s="583"/>
      <c r="AF144" s="583"/>
      <c r="AG144" s="583"/>
      <c r="AH144" s="583"/>
      <c r="AI144" s="634"/>
      <c r="AJ144" s="583"/>
      <c r="AK144" s="583"/>
      <c r="AL144" s="583"/>
      <c r="AM144" s="583"/>
      <c r="AN144" s="583"/>
      <c r="AO144" s="583"/>
      <c r="AP144" s="583"/>
      <c r="AR144" s="119"/>
      <c r="AS144" s="119"/>
    </row>
    <row r="145" spans="1:45" ht="27" customHeight="1" x14ac:dyDescent="0.4">
      <c r="B145" s="644"/>
      <c r="C145" s="648"/>
      <c r="D145" s="649"/>
      <c r="E145" s="650"/>
      <c r="F145" s="583"/>
      <c r="G145" s="583"/>
      <c r="H145" s="583"/>
      <c r="I145" s="583"/>
      <c r="J145" s="703"/>
      <c r="K145" s="703"/>
      <c r="L145" s="703"/>
      <c r="M145" s="703"/>
      <c r="N145" s="703"/>
      <c r="O145" s="703"/>
      <c r="P145" s="703"/>
      <c r="Q145" s="634"/>
      <c r="R145" s="634"/>
      <c r="S145" s="100"/>
      <c r="T145" s="101"/>
      <c r="U145" s="100"/>
      <c r="V145" s="634"/>
      <c r="W145" s="634"/>
      <c r="X145" s="703"/>
      <c r="Y145" s="703"/>
      <c r="Z145" s="703"/>
      <c r="AA145" s="703"/>
      <c r="AB145" s="703"/>
      <c r="AC145" s="703"/>
      <c r="AD145" s="703"/>
      <c r="AE145" s="583"/>
      <c r="AF145" s="583"/>
      <c r="AG145" s="583"/>
      <c r="AH145" s="583"/>
      <c r="AI145" s="583"/>
      <c r="AJ145" s="583"/>
      <c r="AK145" s="583"/>
      <c r="AL145" s="583"/>
      <c r="AM145" s="583"/>
      <c r="AN145" s="583"/>
      <c r="AO145" s="583"/>
      <c r="AP145" s="583"/>
      <c r="AR145" s="119"/>
      <c r="AS145" s="119"/>
    </row>
    <row r="146" spans="1:45" ht="27" customHeight="1" x14ac:dyDescent="0.4">
      <c r="B146" s="644"/>
      <c r="C146" s="723"/>
      <c r="D146" s="723"/>
      <c r="E146" s="723"/>
      <c r="F146" s="583"/>
      <c r="G146" s="583"/>
      <c r="H146" s="583"/>
      <c r="I146" s="583"/>
      <c r="J146" s="721"/>
      <c r="K146" s="722"/>
      <c r="L146" s="722"/>
      <c r="M146" s="722"/>
      <c r="N146" s="722"/>
      <c r="O146" s="722"/>
      <c r="P146" s="722"/>
      <c r="Q146" s="634"/>
      <c r="R146" s="634"/>
      <c r="S146" s="100"/>
      <c r="T146" s="101"/>
      <c r="U146" s="100"/>
      <c r="V146" s="634"/>
      <c r="W146" s="634"/>
      <c r="X146" s="721"/>
      <c r="Y146" s="722"/>
      <c r="Z146" s="722"/>
      <c r="AA146" s="722"/>
      <c r="AB146" s="722"/>
      <c r="AC146" s="722"/>
      <c r="AD146" s="722"/>
      <c r="AE146" s="583"/>
      <c r="AF146" s="583"/>
      <c r="AG146" s="583"/>
      <c r="AH146" s="583"/>
      <c r="AI146" s="634"/>
      <c r="AJ146" s="583"/>
      <c r="AK146" s="583"/>
      <c r="AL146" s="583"/>
      <c r="AM146" s="583"/>
      <c r="AN146" s="583"/>
      <c r="AO146" s="583"/>
      <c r="AP146" s="583"/>
      <c r="AR146" s="119"/>
      <c r="AS146" s="119"/>
    </row>
    <row r="147" spans="1:45" ht="27" customHeight="1" x14ac:dyDescent="0.4">
      <c r="B147" s="644"/>
      <c r="C147" s="723"/>
      <c r="D147" s="723"/>
      <c r="E147" s="723"/>
      <c r="F147" s="583"/>
      <c r="G147" s="583"/>
      <c r="H147" s="583"/>
      <c r="I147" s="583"/>
      <c r="J147" s="722"/>
      <c r="K147" s="722"/>
      <c r="L147" s="722"/>
      <c r="M147" s="722"/>
      <c r="N147" s="722"/>
      <c r="O147" s="722"/>
      <c r="P147" s="722"/>
      <c r="Q147" s="634"/>
      <c r="R147" s="634"/>
      <c r="S147" s="100"/>
      <c r="T147" s="101"/>
      <c r="U147" s="100"/>
      <c r="V147" s="634"/>
      <c r="W147" s="634"/>
      <c r="X147" s="722"/>
      <c r="Y147" s="722"/>
      <c r="Z147" s="722"/>
      <c r="AA147" s="722"/>
      <c r="AB147" s="722"/>
      <c r="AC147" s="722"/>
      <c r="AD147" s="722"/>
      <c r="AE147" s="583"/>
      <c r="AF147" s="583"/>
      <c r="AG147" s="583"/>
      <c r="AH147" s="583"/>
      <c r="AI147" s="583"/>
      <c r="AJ147" s="583"/>
      <c r="AK147" s="583"/>
      <c r="AL147" s="583"/>
      <c r="AM147" s="583"/>
      <c r="AN147" s="583"/>
      <c r="AO147" s="583"/>
      <c r="AP147" s="583"/>
      <c r="AR147" s="119"/>
      <c r="AS147" s="119"/>
    </row>
    <row r="148" spans="1:45" ht="27" customHeight="1" x14ac:dyDescent="0.4">
      <c r="B148" s="644"/>
      <c r="C148" s="723"/>
      <c r="D148" s="723"/>
      <c r="E148" s="723"/>
      <c r="F148" s="583"/>
      <c r="G148" s="583"/>
      <c r="H148" s="583"/>
      <c r="I148" s="583"/>
      <c r="J148" s="721"/>
      <c r="K148" s="722"/>
      <c r="L148" s="722"/>
      <c r="M148" s="722"/>
      <c r="N148" s="722"/>
      <c r="O148" s="722"/>
      <c r="P148" s="722"/>
      <c r="Q148" s="634"/>
      <c r="R148" s="634"/>
      <c r="S148" s="100"/>
      <c r="T148" s="101"/>
      <c r="U148" s="100"/>
      <c r="V148" s="634"/>
      <c r="W148" s="634"/>
      <c r="X148" s="721"/>
      <c r="Y148" s="722"/>
      <c r="Z148" s="722"/>
      <c r="AA148" s="722"/>
      <c r="AB148" s="722"/>
      <c r="AC148" s="722"/>
      <c r="AD148" s="722"/>
      <c r="AE148" s="583"/>
      <c r="AF148" s="583"/>
      <c r="AG148" s="583"/>
      <c r="AH148" s="583"/>
      <c r="AI148" s="634"/>
      <c r="AJ148" s="583"/>
      <c r="AK148" s="583"/>
      <c r="AL148" s="583"/>
      <c r="AM148" s="583"/>
      <c r="AN148" s="583"/>
      <c r="AO148" s="583"/>
      <c r="AP148" s="583"/>
      <c r="AR148" s="119"/>
      <c r="AS148" s="119"/>
    </row>
    <row r="149" spans="1:45" ht="27" customHeight="1" x14ac:dyDescent="0.4">
      <c r="B149" s="644"/>
      <c r="C149" s="723"/>
      <c r="D149" s="723"/>
      <c r="E149" s="723"/>
      <c r="F149" s="583"/>
      <c r="G149" s="583"/>
      <c r="H149" s="583"/>
      <c r="I149" s="583"/>
      <c r="J149" s="722"/>
      <c r="K149" s="722"/>
      <c r="L149" s="722"/>
      <c r="M149" s="722"/>
      <c r="N149" s="722"/>
      <c r="O149" s="722"/>
      <c r="P149" s="722"/>
      <c r="Q149" s="634"/>
      <c r="R149" s="634"/>
      <c r="S149" s="100"/>
      <c r="T149" s="101"/>
      <c r="U149" s="100"/>
      <c r="V149" s="634"/>
      <c r="W149" s="634"/>
      <c r="X149" s="722"/>
      <c r="Y149" s="722"/>
      <c r="Z149" s="722"/>
      <c r="AA149" s="722"/>
      <c r="AB149" s="722"/>
      <c r="AC149" s="722"/>
      <c r="AD149" s="722"/>
      <c r="AE149" s="583"/>
      <c r="AF149" s="583"/>
      <c r="AG149" s="583"/>
      <c r="AH149" s="583"/>
      <c r="AI149" s="583"/>
      <c r="AJ149" s="583"/>
      <c r="AK149" s="583"/>
      <c r="AL149" s="583"/>
      <c r="AM149" s="583"/>
      <c r="AN149" s="583"/>
      <c r="AO149" s="583"/>
      <c r="AP149" s="583"/>
      <c r="AR149" s="119"/>
      <c r="AS149" s="119"/>
    </row>
    <row r="150" spans="1:45" ht="27" customHeight="1" x14ac:dyDescent="0.4">
      <c r="B150" s="644"/>
      <c r="C150" s="723"/>
      <c r="D150" s="723"/>
      <c r="E150" s="723"/>
      <c r="F150" s="583"/>
      <c r="G150" s="583"/>
      <c r="H150" s="583"/>
      <c r="I150" s="583"/>
      <c r="J150" s="721"/>
      <c r="K150" s="722"/>
      <c r="L150" s="722"/>
      <c r="M150" s="722"/>
      <c r="N150" s="722"/>
      <c r="O150" s="722"/>
      <c r="P150" s="722"/>
      <c r="Q150" s="634"/>
      <c r="R150" s="634"/>
      <c r="S150" s="100"/>
      <c r="T150" s="101"/>
      <c r="U150" s="100"/>
      <c r="V150" s="634"/>
      <c r="W150" s="634"/>
      <c r="X150" s="721"/>
      <c r="Y150" s="722"/>
      <c r="Z150" s="722"/>
      <c r="AA150" s="722"/>
      <c r="AB150" s="722"/>
      <c r="AC150" s="722"/>
      <c r="AD150" s="722"/>
      <c r="AE150" s="583"/>
      <c r="AF150" s="583"/>
      <c r="AG150" s="583"/>
      <c r="AH150" s="583"/>
      <c r="AI150" s="634"/>
      <c r="AJ150" s="583"/>
      <c r="AK150" s="583"/>
      <c r="AL150" s="583"/>
      <c r="AM150" s="583"/>
      <c r="AN150" s="583"/>
      <c r="AO150" s="583"/>
      <c r="AP150" s="583"/>
      <c r="AR150" s="119"/>
      <c r="AS150" s="119"/>
    </row>
    <row r="151" spans="1:45" ht="27" customHeight="1" x14ac:dyDescent="0.4">
      <c r="B151" s="644"/>
      <c r="C151" s="723"/>
      <c r="D151" s="723"/>
      <c r="E151" s="723"/>
      <c r="F151" s="583"/>
      <c r="G151" s="583"/>
      <c r="H151" s="583"/>
      <c r="I151" s="583"/>
      <c r="J151" s="722"/>
      <c r="K151" s="722"/>
      <c r="L151" s="722"/>
      <c r="M151" s="722"/>
      <c r="N151" s="722"/>
      <c r="O151" s="722"/>
      <c r="P151" s="722"/>
      <c r="Q151" s="634"/>
      <c r="R151" s="634"/>
      <c r="S151" s="100"/>
      <c r="T151" s="101"/>
      <c r="U151" s="100"/>
      <c r="V151" s="634"/>
      <c r="W151" s="634"/>
      <c r="X151" s="722"/>
      <c r="Y151" s="722"/>
      <c r="Z151" s="722"/>
      <c r="AA151" s="722"/>
      <c r="AB151" s="722"/>
      <c r="AC151" s="722"/>
      <c r="AD151" s="722"/>
      <c r="AE151" s="583"/>
      <c r="AF151" s="583"/>
      <c r="AG151" s="583"/>
      <c r="AH151" s="583"/>
      <c r="AI151" s="583"/>
      <c r="AJ151" s="583"/>
      <c r="AK151" s="583"/>
      <c r="AL151" s="583"/>
      <c r="AM151" s="583"/>
      <c r="AN151" s="583"/>
      <c r="AO151" s="583"/>
      <c r="AP151" s="583"/>
    </row>
    <row r="152" spans="1:45" ht="27" customHeight="1" thickBot="1" x14ac:dyDescent="0.45">
      <c r="A152" s="102"/>
      <c r="B152" s="103"/>
      <c r="C152" s="104"/>
      <c r="D152" s="104"/>
      <c r="E152" s="104"/>
      <c r="F152" s="103"/>
      <c r="G152" s="103"/>
      <c r="H152" s="103"/>
      <c r="I152" s="103"/>
      <c r="J152" s="103"/>
      <c r="K152" s="105"/>
      <c r="L152" s="105"/>
      <c r="M152" s="106"/>
      <c r="N152" s="107"/>
      <c r="O152" s="106"/>
      <c r="P152" s="105"/>
      <c r="Q152" s="105"/>
      <c r="R152" s="103"/>
      <c r="S152" s="103"/>
      <c r="T152" s="103"/>
      <c r="U152" s="103"/>
      <c r="V152" s="103"/>
      <c r="W152" s="108"/>
      <c r="X152" s="108"/>
      <c r="Y152" s="108"/>
      <c r="Z152" s="108"/>
      <c r="AA152" s="108"/>
      <c r="AB152" s="108"/>
      <c r="AC152" s="102"/>
    </row>
    <row r="153" spans="1:45" ht="27" customHeight="1" thickBot="1" x14ac:dyDescent="0.45">
      <c r="D153" s="664" t="s">
        <v>8</v>
      </c>
      <c r="E153" s="665"/>
      <c r="F153" s="665"/>
      <c r="G153" s="665"/>
      <c r="H153" s="665"/>
      <c r="I153" s="666"/>
      <c r="J153" s="667" t="s">
        <v>5</v>
      </c>
      <c r="K153" s="665"/>
      <c r="L153" s="665"/>
      <c r="M153" s="665"/>
      <c r="N153" s="665"/>
      <c r="O153" s="665"/>
      <c r="P153" s="665"/>
      <c r="Q153" s="666"/>
      <c r="R153" s="668" t="s">
        <v>9</v>
      </c>
      <c r="S153" s="669"/>
      <c r="T153" s="669"/>
      <c r="U153" s="669"/>
      <c r="V153" s="669"/>
      <c r="W153" s="669"/>
      <c r="X153" s="669"/>
      <c r="Y153" s="669"/>
      <c r="Z153" s="670"/>
      <c r="AA153" s="609" t="s">
        <v>10</v>
      </c>
      <c r="AB153" s="610"/>
      <c r="AC153" s="671"/>
      <c r="AD153" s="609" t="s">
        <v>11</v>
      </c>
      <c r="AE153" s="610"/>
      <c r="AF153" s="610"/>
      <c r="AG153" s="610"/>
      <c r="AH153" s="610"/>
      <c r="AI153" s="610"/>
      <c r="AJ153" s="610"/>
      <c r="AK153" s="610"/>
      <c r="AL153" s="610"/>
      <c r="AM153" s="611"/>
    </row>
    <row r="154" spans="1:45" ht="27" customHeight="1" x14ac:dyDescent="0.4">
      <c r="D154" s="651" t="s">
        <v>298</v>
      </c>
      <c r="E154" s="652"/>
      <c r="F154" s="652"/>
      <c r="G154" s="652"/>
      <c r="H154" s="652"/>
      <c r="I154" s="653"/>
      <c r="J154" s="654"/>
      <c r="K154" s="652"/>
      <c r="L154" s="652"/>
      <c r="M154" s="652"/>
      <c r="N154" s="652"/>
      <c r="O154" s="652"/>
      <c r="P154" s="652"/>
      <c r="Q154" s="653"/>
      <c r="R154" s="655"/>
      <c r="S154" s="656"/>
      <c r="T154" s="656"/>
      <c r="U154" s="656"/>
      <c r="V154" s="656"/>
      <c r="W154" s="656"/>
      <c r="X154" s="656"/>
      <c r="Y154" s="656"/>
      <c r="Z154" s="657"/>
      <c r="AA154" s="658"/>
      <c r="AB154" s="659"/>
      <c r="AC154" s="660"/>
      <c r="AD154" s="661"/>
      <c r="AE154" s="662"/>
      <c r="AF154" s="662"/>
      <c r="AG154" s="662"/>
      <c r="AH154" s="662"/>
      <c r="AI154" s="662"/>
      <c r="AJ154" s="662"/>
      <c r="AK154" s="662"/>
      <c r="AL154" s="662"/>
      <c r="AM154" s="663"/>
    </row>
    <row r="155" spans="1:45" ht="27" customHeight="1" x14ac:dyDescent="0.4">
      <c r="D155" s="688" t="s">
        <v>12</v>
      </c>
      <c r="E155" s="604"/>
      <c r="F155" s="604"/>
      <c r="G155" s="604"/>
      <c r="H155" s="604"/>
      <c r="I155" s="605"/>
      <c r="J155" s="603"/>
      <c r="K155" s="604"/>
      <c r="L155" s="604"/>
      <c r="M155" s="604"/>
      <c r="N155" s="604"/>
      <c r="O155" s="604"/>
      <c r="P155" s="604"/>
      <c r="Q155" s="605"/>
      <c r="R155" s="606"/>
      <c r="S155" s="607"/>
      <c r="T155" s="607"/>
      <c r="U155" s="607"/>
      <c r="V155" s="607"/>
      <c r="W155" s="607"/>
      <c r="X155" s="607"/>
      <c r="Y155" s="607"/>
      <c r="Z155" s="608"/>
      <c r="AA155" s="606"/>
      <c r="AB155" s="607"/>
      <c r="AC155" s="608"/>
      <c r="AD155" s="672"/>
      <c r="AE155" s="673"/>
      <c r="AF155" s="673"/>
      <c r="AG155" s="673"/>
      <c r="AH155" s="673"/>
      <c r="AI155" s="673"/>
      <c r="AJ155" s="673"/>
      <c r="AK155" s="673"/>
      <c r="AL155" s="673"/>
      <c r="AM155" s="674"/>
    </row>
    <row r="156" spans="1:45" ht="27" customHeight="1" thickBot="1" x14ac:dyDescent="0.45">
      <c r="B156" s="102"/>
      <c r="C156" s="102"/>
      <c r="D156" s="675" t="s">
        <v>12</v>
      </c>
      <c r="E156" s="676"/>
      <c r="F156" s="676"/>
      <c r="G156" s="676"/>
      <c r="H156" s="676"/>
      <c r="I156" s="677"/>
      <c r="J156" s="678"/>
      <c r="K156" s="676"/>
      <c r="L156" s="676"/>
      <c r="M156" s="676"/>
      <c r="N156" s="676"/>
      <c r="O156" s="676"/>
      <c r="P156" s="676"/>
      <c r="Q156" s="677"/>
      <c r="R156" s="679"/>
      <c r="S156" s="680"/>
      <c r="T156" s="680"/>
      <c r="U156" s="680"/>
      <c r="V156" s="680"/>
      <c r="W156" s="680"/>
      <c r="X156" s="680"/>
      <c r="Y156" s="680"/>
      <c r="Z156" s="681"/>
      <c r="AA156" s="682"/>
      <c r="AB156" s="683"/>
      <c r="AC156" s="684"/>
      <c r="AD156" s="685"/>
      <c r="AE156" s="686"/>
      <c r="AF156" s="686"/>
      <c r="AG156" s="686"/>
      <c r="AH156" s="686"/>
      <c r="AI156" s="686"/>
      <c r="AJ156" s="686"/>
      <c r="AK156" s="686"/>
      <c r="AL156" s="686"/>
      <c r="AM156" s="687"/>
      <c r="AN156" s="102"/>
      <c r="AO156" s="102"/>
    </row>
    <row r="157" spans="1:45" ht="27" customHeight="1" x14ac:dyDescent="0.4">
      <c r="B157" s="102"/>
      <c r="C157" s="102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7"/>
      <c r="AB157" s="107"/>
      <c r="AC157" s="107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02"/>
      <c r="AO157" s="102"/>
    </row>
    <row r="158" spans="1:45" ht="27" customHeight="1" x14ac:dyDescent="0.4">
      <c r="A158" s="115"/>
      <c r="B158" s="640" t="str">
        <f>U12組合せ!$B$1</f>
        <v>ＪＦＡ　Ｕ-１２サッカーリーグ2021（in栃木） 宇都宮地区リーグ戦（前期）</v>
      </c>
      <c r="C158" s="640"/>
      <c r="D158" s="640"/>
      <c r="E158" s="640"/>
      <c r="F158" s="640"/>
      <c r="G158" s="640"/>
      <c r="H158" s="640"/>
      <c r="I158" s="640"/>
      <c r="J158" s="640"/>
      <c r="K158" s="640"/>
      <c r="L158" s="640"/>
      <c r="M158" s="640"/>
      <c r="N158" s="640"/>
      <c r="O158" s="640"/>
      <c r="P158" s="640"/>
      <c r="Q158" s="640"/>
      <c r="R158" s="640"/>
      <c r="S158" s="640"/>
      <c r="T158" s="640"/>
      <c r="U158" s="640"/>
      <c r="V158" s="640"/>
      <c r="W158" s="640"/>
      <c r="X158" s="640"/>
      <c r="Y158" s="640"/>
      <c r="Z158" s="640"/>
      <c r="AA158" s="640"/>
      <c r="AB158" s="640"/>
      <c r="AC158" s="612" t="str">
        <f>"【"&amp;(U12組合せ!$F$3)&amp;"】"</f>
        <v>【Ｂ ブロック】</v>
      </c>
      <c r="AD158" s="612"/>
      <c r="AE158" s="612"/>
      <c r="AF158" s="612"/>
      <c r="AG158" s="612"/>
      <c r="AH158" s="612"/>
      <c r="AI158" s="612"/>
      <c r="AJ158" s="612"/>
      <c r="AK158" s="612" t="str">
        <f>"第"&amp;(U12組合せ!$D$27)</f>
        <v>第２節</v>
      </c>
      <c r="AL158" s="612"/>
      <c r="AM158" s="612"/>
      <c r="AN158" s="612"/>
      <c r="AO158" s="612"/>
      <c r="AP158" s="597" t="s">
        <v>301</v>
      </c>
      <c r="AQ158" s="598"/>
    </row>
    <row r="159" spans="1:45" ht="27" customHeight="1" x14ac:dyDescent="0.4">
      <c r="A159" s="115"/>
      <c r="B159" s="640"/>
      <c r="C159" s="640"/>
      <c r="D159" s="640"/>
      <c r="E159" s="640"/>
      <c r="F159" s="640"/>
      <c r="G159" s="640"/>
      <c r="H159" s="640"/>
      <c r="I159" s="640"/>
      <c r="J159" s="640"/>
      <c r="K159" s="640"/>
      <c r="L159" s="640"/>
      <c r="M159" s="640"/>
      <c r="N159" s="640"/>
      <c r="O159" s="640"/>
      <c r="P159" s="640"/>
      <c r="Q159" s="640"/>
      <c r="R159" s="640"/>
      <c r="S159" s="640"/>
      <c r="T159" s="640"/>
      <c r="U159" s="640"/>
      <c r="V159" s="640"/>
      <c r="W159" s="640"/>
      <c r="X159" s="640"/>
      <c r="Y159" s="640"/>
      <c r="Z159" s="640"/>
      <c r="AA159" s="640"/>
      <c r="AB159" s="640"/>
      <c r="AC159" s="601"/>
      <c r="AD159" s="601"/>
      <c r="AE159" s="601"/>
      <c r="AF159" s="601"/>
      <c r="AG159" s="601"/>
      <c r="AH159" s="601"/>
      <c r="AI159" s="601"/>
      <c r="AJ159" s="601"/>
      <c r="AK159" s="601"/>
      <c r="AL159" s="601"/>
      <c r="AM159" s="601"/>
      <c r="AN159" s="601"/>
      <c r="AO159" s="612"/>
      <c r="AP159" s="598"/>
      <c r="AQ159" s="598"/>
    </row>
    <row r="160" spans="1:45" ht="27" customHeight="1" x14ac:dyDescent="0.4">
      <c r="C160" s="635" t="s">
        <v>1</v>
      </c>
      <c r="D160" s="635"/>
      <c r="E160" s="635"/>
      <c r="F160" s="635"/>
      <c r="G160" s="725" t="str">
        <f>U12対戦スケジュール!I45</f>
        <v>雀宮南小 AM</v>
      </c>
      <c r="H160" s="726"/>
      <c r="I160" s="726"/>
      <c r="J160" s="726"/>
      <c r="K160" s="726"/>
      <c r="L160" s="726"/>
      <c r="M160" s="726"/>
      <c r="N160" s="726"/>
      <c r="O160" s="727"/>
      <c r="P160" s="635" t="s">
        <v>0</v>
      </c>
      <c r="Q160" s="635"/>
      <c r="R160" s="635"/>
      <c r="S160" s="635"/>
      <c r="T160" s="636" t="str">
        <f>AG164</f>
        <v>サウス宇都宮SC</v>
      </c>
      <c r="U160" s="636"/>
      <c r="V160" s="636"/>
      <c r="W160" s="636"/>
      <c r="X160" s="636"/>
      <c r="Y160" s="636"/>
      <c r="Z160" s="636"/>
      <c r="AA160" s="636"/>
      <c r="AB160" s="636"/>
      <c r="AC160" s="635" t="s">
        <v>2</v>
      </c>
      <c r="AD160" s="635"/>
      <c r="AE160" s="635"/>
      <c r="AF160" s="635"/>
      <c r="AG160" s="618">
        <f>U12組合せ!B$27</f>
        <v>44310</v>
      </c>
      <c r="AH160" s="619"/>
      <c r="AI160" s="619"/>
      <c r="AJ160" s="619"/>
      <c r="AK160" s="619"/>
      <c r="AL160" s="619"/>
      <c r="AM160" s="620" t="str">
        <f>"（"&amp;TEXT(AG160,"aaa")&amp;"）"</f>
        <v>（土）</v>
      </c>
      <c r="AN160" s="620"/>
      <c r="AO160" s="621"/>
      <c r="AP160" s="116"/>
    </row>
    <row r="161" spans="2:45" ht="27" customHeight="1" x14ac:dyDescent="0.4">
      <c r="C161" s="96" t="str">
        <f>U12組合せ!G32</f>
        <v>B369</v>
      </c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95"/>
      <c r="X161" s="95"/>
      <c r="Y161" s="95"/>
      <c r="Z161" s="95"/>
      <c r="AA161" s="95"/>
      <c r="AB161" s="95"/>
      <c r="AC161" s="95"/>
    </row>
    <row r="162" spans="2:45" ht="27" customHeight="1" x14ac:dyDescent="0.4">
      <c r="C162" s="637">
        <v>1</v>
      </c>
      <c r="D162" s="637"/>
      <c r="E162" s="584" t="str">
        <f>VLOOKUP(C162,U12組合せ!B$10:K$19,5,TRUE)</f>
        <v>スポルト宇都宮U12</v>
      </c>
      <c r="F162" s="584"/>
      <c r="G162" s="584"/>
      <c r="H162" s="584"/>
      <c r="I162" s="584"/>
      <c r="J162" s="584"/>
      <c r="K162" s="584"/>
      <c r="L162" s="584"/>
      <c r="M162" s="584"/>
      <c r="N162" s="584"/>
      <c r="O162" s="94"/>
      <c r="P162" s="94"/>
      <c r="Q162" s="637">
        <v>4</v>
      </c>
      <c r="R162" s="637"/>
      <c r="S162" s="584" t="str">
        <f>VLOOKUP(Q162,U12組合せ!B$10:K$19,5,TRUE)</f>
        <v>昭和・戸祭SC</v>
      </c>
      <c r="T162" s="584"/>
      <c r="U162" s="584"/>
      <c r="V162" s="584"/>
      <c r="W162" s="584"/>
      <c r="X162" s="584"/>
      <c r="Y162" s="584"/>
      <c r="Z162" s="584"/>
      <c r="AA162" s="584"/>
      <c r="AB162" s="584"/>
      <c r="AC162" s="92"/>
      <c r="AD162" s="93"/>
      <c r="AE162" s="637">
        <v>7</v>
      </c>
      <c r="AF162" s="637"/>
      <c r="AG162" s="584" t="str">
        <f>VLOOKUP(AE162,U12組合せ!B$10:'U12組合せ'!K$19,5,TRUE)</f>
        <v>上三川SC</v>
      </c>
      <c r="AH162" s="584"/>
      <c r="AI162" s="584"/>
      <c r="AJ162" s="584"/>
      <c r="AK162" s="584"/>
      <c r="AL162" s="584"/>
      <c r="AM162" s="584"/>
      <c r="AN162" s="584"/>
      <c r="AO162" s="584"/>
      <c r="AP162" s="584"/>
      <c r="AR162" s="96">
        <f>168/2</f>
        <v>84</v>
      </c>
    </row>
    <row r="163" spans="2:45" ht="27" customHeight="1" x14ac:dyDescent="0.4">
      <c r="C163" s="637">
        <v>2</v>
      </c>
      <c r="D163" s="637"/>
      <c r="E163" s="584" t="str">
        <f>VLOOKUP(C163,U12組合せ!B$10:K$19,5,TRUE)</f>
        <v>ウエストフットコム</v>
      </c>
      <c r="F163" s="584"/>
      <c r="G163" s="584"/>
      <c r="H163" s="584"/>
      <c r="I163" s="584"/>
      <c r="J163" s="584"/>
      <c r="K163" s="584"/>
      <c r="L163" s="584"/>
      <c r="M163" s="584"/>
      <c r="N163" s="584"/>
      <c r="O163" s="94"/>
      <c r="P163" s="94"/>
      <c r="Q163" s="637">
        <v>5</v>
      </c>
      <c r="R163" s="637"/>
      <c r="S163" s="584" t="str">
        <f>VLOOKUP(Q163,U12組合せ!B$10:K$19,5,TRUE)</f>
        <v>岡西FC</v>
      </c>
      <c r="T163" s="584"/>
      <c r="U163" s="584"/>
      <c r="V163" s="584"/>
      <c r="W163" s="584"/>
      <c r="X163" s="584"/>
      <c r="Y163" s="584"/>
      <c r="Z163" s="584"/>
      <c r="AA163" s="584"/>
      <c r="AB163" s="584"/>
      <c r="AC163" s="92"/>
      <c r="AD163" s="93"/>
      <c r="AE163" s="637">
        <v>8</v>
      </c>
      <c r="AF163" s="637"/>
      <c r="AG163" s="584" t="str">
        <f>VLOOKUP(AE163,U12組合せ!B$10:'U12組合せ'!K$19,5,TRUE)</f>
        <v>宇都宮FCジュニア</v>
      </c>
      <c r="AH163" s="584"/>
      <c r="AI163" s="584"/>
      <c r="AJ163" s="584"/>
      <c r="AK163" s="584"/>
      <c r="AL163" s="584"/>
      <c r="AM163" s="584"/>
      <c r="AN163" s="584"/>
      <c r="AO163" s="584"/>
      <c r="AP163" s="584"/>
      <c r="AR163" s="96">
        <v>47</v>
      </c>
    </row>
    <row r="164" spans="2:45" s="141" customFormat="1" ht="27" customHeight="1" x14ac:dyDescent="0.4">
      <c r="C164" s="636">
        <v>3</v>
      </c>
      <c r="D164" s="636"/>
      <c r="E164" s="709" t="str">
        <f>VLOOKUP(C164,U12組合せ!B$10:K$19,5,TRUE)</f>
        <v>緑ヶ丘ＹＦＣ</v>
      </c>
      <c r="F164" s="709"/>
      <c r="G164" s="709"/>
      <c r="H164" s="709"/>
      <c r="I164" s="709"/>
      <c r="J164" s="709"/>
      <c r="K164" s="709"/>
      <c r="L164" s="709"/>
      <c r="M164" s="709"/>
      <c r="N164" s="709"/>
      <c r="O164" s="140"/>
      <c r="P164" s="140"/>
      <c r="Q164" s="636">
        <v>6</v>
      </c>
      <c r="R164" s="636"/>
      <c r="S164" s="709" t="str">
        <f>VLOOKUP(Q164,U12組合せ!B$10:K$19,5,TRUE)</f>
        <v>FCグラシアス</v>
      </c>
      <c r="T164" s="709"/>
      <c r="U164" s="709"/>
      <c r="V164" s="709"/>
      <c r="W164" s="709"/>
      <c r="X164" s="709"/>
      <c r="Y164" s="709"/>
      <c r="Z164" s="709"/>
      <c r="AA164" s="709"/>
      <c r="AB164" s="709"/>
      <c r="AC164" s="92"/>
      <c r="AD164" s="139"/>
      <c r="AE164" s="636">
        <v>9</v>
      </c>
      <c r="AF164" s="636"/>
      <c r="AG164" s="709" t="str">
        <f>VLOOKUP(AE164,U12組合せ!B$10:'U12組合せ'!K$19,5,TRUE)</f>
        <v>サウス宇都宮SC</v>
      </c>
      <c r="AH164" s="709"/>
      <c r="AI164" s="709"/>
      <c r="AJ164" s="709"/>
      <c r="AK164" s="709"/>
      <c r="AL164" s="709"/>
      <c r="AM164" s="709"/>
      <c r="AN164" s="709"/>
      <c r="AO164" s="709"/>
      <c r="AP164" s="709"/>
      <c r="AR164" s="141">
        <f>AR162-AR163</f>
        <v>37</v>
      </c>
    </row>
    <row r="165" spans="2:45" ht="27" customHeight="1" x14ac:dyDescent="0.4">
      <c r="C165" s="117"/>
      <c r="D165" s="118"/>
      <c r="E165" s="118"/>
      <c r="F165" s="118"/>
      <c r="G165" s="118"/>
      <c r="H165" s="118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18"/>
      <c r="U165" s="102"/>
      <c r="V165" s="118"/>
      <c r="W165" s="102"/>
      <c r="X165" s="118"/>
      <c r="Y165" s="102"/>
      <c r="Z165" s="118"/>
      <c r="AA165" s="102"/>
      <c r="AB165" s="118"/>
      <c r="AC165" s="118"/>
    </row>
    <row r="166" spans="2:45" ht="27" customHeight="1" x14ac:dyDescent="0.4">
      <c r="B166" s="118" t="str">
        <f ca="1">IF(B168="①","【監督会議 8：20～】","【監督会議 12：50～】")</f>
        <v>【監督会議 8：20～】</v>
      </c>
      <c r="I166" s="96" t="s">
        <v>330</v>
      </c>
    </row>
    <row r="167" spans="2:45" ht="27" customHeight="1" x14ac:dyDescent="0.4">
      <c r="B167" s="97"/>
      <c r="C167" s="711" t="s">
        <v>3</v>
      </c>
      <c r="D167" s="711"/>
      <c r="E167" s="711"/>
      <c r="F167" s="712" t="s">
        <v>4</v>
      </c>
      <c r="G167" s="712"/>
      <c r="H167" s="712"/>
      <c r="I167" s="712"/>
      <c r="J167" s="711" t="s">
        <v>5</v>
      </c>
      <c r="K167" s="713"/>
      <c r="L167" s="713"/>
      <c r="M167" s="713"/>
      <c r="N167" s="713"/>
      <c r="O167" s="713"/>
      <c r="P167" s="713"/>
      <c r="Q167" s="711" t="s">
        <v>32</v>
      </c>
      <c r="R167" s="711"/>
      <c r="S167" s="711"/>
      <c r="T167" s="711"/>
      <c r="U167" s="711"/>
      <c r="V167" s="711"/>
      <c r="W167" s="711"/>
      <c r="X167" s="711" t="s">
        <v>5</v>
      </c>
      <c r="Y167" s="713"/>
      <c r="Z167" s="713"/>
      <c r="AA167" s="713"/>
      <c r="AB167" s="713"/>
      <c r="AC167" s="713"/>
      <c r="AD167" s="713"/>
      <c r="AE167" s="712" t="s">
        <v>4</v>
      </c>
      <c r="AF167" s="712"/>
      <c r="AG167" s="712"/>
      <c r="AH167" s="712"/>
      <c r="AI167" s="711" t="s">
        <v>6</v>
      </c>
      <c r="AJ167" s="711"/>
      <c r="AK167" s="713"/>
      <c r="AL167" s="713"/>
      <c r="AM167" s="713"/>
      <c r="AN167" s="713"/>
      <c r="AO167" s="713"/>
      <c r="AP167" s="713"/>
    </row>
    <row r="168" spans="2:45" ht="27" customHeight="1" x14ac:dyDescent="0.4">
      <c r="B168" s="644" t="str">
        <f ca="1">DBCS(INDIRECT("U12対戦スケジュール!ｇ"&amp;(ROW())/2-37))</f>
        <v>①</v>
      </c>
      <c r="C168" s="645">
        <f ca="1">INDIRECT("U12対戦スケジュール!ｈ"&amp;(ROW())/2-37)</f>
        <v>0.375</v>
      </c>
      <c r="D168" s="646"/>
      <c r="E168" s="647"/>
      <c r="F168" s="583"/>
      <c r="G168" s="583"/>
      <c r="H168" s="583"/>
      <c r="I168" s="583"/>
      <c r="J168" s="746" t="str">
        <f ca="1">VLOOKUP(AR168,U12組合せ!B$10:K$19,5,TRUE)</f>
        <v>緑ヶ丘ＹＦＣ</v>
      </c>
      <c r="K168" s="747"/>
      <c r="L168" s="747"/>
      <c r="M168" s="747"/>
      <c r="N168" s="747"/>
      <c r="O168" s="747"/>
      <c r="P168" s="747"/>
      <c r="Q168" s="628">
        <f>IF(OR(S168="",S169=""),"",S168+S169)</f>
        <v>0</v>
      </c>
      <c r="R168" s="630"/>
      <c r="S168" s="100">
        <v>0</v>
      </c>
      <c r="T168" s="101" t="s">
        <v>7</v>
      </c>
      <c r="U168" s="100">
        <v>0</v>
      </c>
      <c r="V168" s="628">
        <f>IF(OR(U168="",U169=""),"",U168+U169)</f>
        <v>1</v>
      </c>
      <c r="W168" s="630"/>
      <c r="X168" s="746" t="str">
        <f ca="1">VLOOKUP(AS168,U12組合せ!B$10:K$19,5,TRUE)</f>
        <v>FCグラシアス</v>
      </c>
      <c r="Y168" s="747"/>
      <c r="Z168" s="747"/>
      <c r="AA168" s="747"/>
      <c r="AB168" s="747"/>
      <c r="AC168" s="747"/>
      <c r="AD168" s="747"/>
      <c r="AE168" s="583"/>
      <c r="AF168" s="583"/>
      <c r="AG168" s="583"/>
      <c r="AH168" s="583"/>
      <c r="AI168" s="758" t="str">
        <f ca="1">DBCS(INDIRECT("U12対戦スケジュール!L"&amp;(ROW())/2-37))</f>
        <v>９／３／６／９</v>
      </c>
      <c r="AJ168" s="759"/>
      <c r="AK168" s="759"/>
      <c r="AL168" s="759"/>
      <c r="AM168" s="759"/>
      <c r="AN168" s="759"/>
      <c r="AO168" s="759"/>
      <c r="AP168" s="760"/>
      <c r="AR168" s="119">
        <f ca="1">INDIRECT("U12対戦スケジュール!I"&amp;(ROW())/2-37)</f>
        <v>3</v>
      </c>
      <c r="AS168" s="119">
        <f ca="1">INDIRECT("U12対戦スケジュール!K"&amp;(ROW())/2-37)</f>
        <v>6</v>
      </c>
    </row>
    <row r="169" spans="2:45" ht="27" customHeight="1" x14ac:dyDescent="0.4">
      <c r="B169" s="644"/>
      <c r="C169" s="648"/>
      <c r="D169" s="649"/>
      <c r="E169" s="650"/>
      <c r="F169" s="583"/>
      <c r="G169" s="583"/>
      <c r="H169" s="583"/>
      <c r="I169" s="583"/>
      <c r="J169" s="747"/>
      <c r="K169" s="747"/>
      <c r="L169" s="747"/>
      <c r="M169" s="747"/>
      <c r="N169" s="747"/>
      <c r="O169" s="747"/>
      <c r="P169" s="747"/>
      <c r="Q169" s="631"/>
      <c r="R169" s="633"/>
      <c r="S169" s="100">
        <v>0</v>
      </c>
      <c r="T169" s="101" t="s">
        <v>7</v>
      </c>
      <c r="U169" s="100">
        <v>1</v>
      </c>
      <c r="V169" s="631"/>
      <c r="W169" s="633"/>
      <c r="X169" s="747"/>
      <c r="Y169" s="747"/>
      <c r="Z169" s="747"/>
      <c r="AA169" s="747"/>
      <c r="AB169" s="747"/>
      <c r="AC169" s="747"/>
      <c r="AD169" s="747"/>
      <c r="AE169" s="583"/>
      <c r="AF169" s="583"/>
      <c r="AG169" s="583"/>
      <c r="AH169" s="583"/>
      <c r="AI169" s="761"/>
      <c r="AJ169" s="762"/>
      <c r="AK169" s="762"/>
      <c r="AL169" s="762"/>
      <c r="AM169" s="762"/>
      <c r="AN169" s="762"/>
      <c r="AO169" s="762"/>
      <c r="AP169" s="763"/>
      <c r="AR169" s="119"/>
      <c r="AS169" s="119"/>
    </row>
    <row r="170" spans="2:45" ht="27" customHeight="1" x14ac:dyDescent="0.4">
      <c r="B170" s="644" t="str">
        <f ca="1">DBCS(INDIRECT("U12対戦スケジュール!ｇ"&amp;(ROW())/2-37))</f>
        <v>②</v>
      </c>
      <c r="C170" s="645">
        <f ca="1">INDIRECT("U12対戦スケジュール!ｈ"&amp;(ROW())/2-37)</f>
        <v>0.41699999999999998</v>
      </c>
      <c r="D170" s="646"/>
      <c r="E170" s="647"/>
      <c r="F170" s="583"/>
      <c r="G170" s="583"/>
      <c r="H170" s="583"/>
      <c r="I170" s="583"/>
      <c r="J170" s="746" t="str">
        <f ca="1">VLOOKUP(AR170,U12組合せ!B$10:K$19,5,TRUE)</f>
        <v>サウス宇都宮SC</v>
      </c>
      <c r="K170" s="747"/>
      <c r="L170" s="747"/>
      <c r="M170" s="747"/>
      <c r="N170" s="747"/>
      <c r="O170" s="747"/>
      <c r="P170" s="747"/>
      <c r="Q170" s="634">
        <f>IF(OR(S170="",S171=""),"",S170+S171)</f>
        <v>0</v>
      </c>
      <c r="R170" s="634"/>
      <c r="S170" s="100">
        <v>0</v>
      </c>
      <c r="T170" s="101" t="s">
        <v>7</v>
      </c>
      <c r="U170" s="100">
        <v>5</v>
      </c>
      <c r="V170" s="634">
        <f>IF(OR(U170="",U171=""),"",U170+U171)</f>
        <v>5</v>
      </c>
      <c r="W170" s="634"/>
      <c r="X170" s="746" t="str">
        <f ca="1">VLOOKUP(AS170,U12組合せ!B$10:K$19,5,TRUE)</f>
        <v>FCグラシアス</v>
      </c>
      <c r="Y170" s="747"/>
      <c r="Z170" s="747"/>
      <c r="AA170" s="747"/>
      <c r="AB170" s="747"/>
      <c r="AC170" s="747"/>
      <c r="AD170" s="747"/>
      <c r="AE170" s="583"/>
      <c r="AF170" s="583"/>
      <c r="AG170" s="583"/>
      <c r="AH170" s="583"/>
      <c r="AI170" s="758" t="str">
        <f ca="1">DBCS(INDIRECT("U12対戦スケジュール!L"&amp;(ROW())/2-37))</f>
        <v>３／６／９／３</v>
      </c>
      <c r="AJ170" s="759"/>
      <c r="AK170" s="759"/>
      <c r="AL170" s="759"/>
      <c r="AM170" s="759"/>
      <c r="AN170" s="759"/>
      <c r="AO170" s="759"/>
      <c r="AP170" s="760"/>
      <c r="AR170" s="119">
        <f ca="1">INDIRECT("U12対戦スケジュール!I"&amp;(ROW())/2-37)</f>
        <v>9</v>
      </c>
      <c r="AS170" s="119">
        <f ca="1">INDIRECT("U12対戦スケジュール!K"&amp;(ROW())/2-37)</f>
        <v>6</v>
      </c>
    </row>
    <row r="171" spans="2:45" ht="27" customHeight="1" x14ac:dyDescent="0.4">
      <c r="B171" s="644"/>
      <c r="C171" s="648"/>
      <c r="D171" s="649"/>
      <c r="E171" s="650"/>
      <c r="F171" s="583"/>
      <c r="G171" s="583"/>
      <c r="H171" s="583"/>
      <c r="I171" s="583"/>
      <c r="J171" s="747"/>
      <c r="K171" s="747"/>
      <c r="L171" s="747"/>
      <c r="M171" s="747"/>
      <c r="N171" s="747"/>
      <c r="O171" s="747"/>
      <c r="P171" s="747"/>
      <c r="Q171" s="634"/>
      <c r="R171" s="634"/>
      <c r="S171" s="100">
        <v>0</v>
      </c>
      <c r="T171" s="101" t="s">
        <v>7</v>
      </c>
      <c r="U171" s="100">
        <v>0</v>
      </c>
      <c r="V171" s="634"/>
      <c r="W171" s="634"/>
      <c r="X171" s="747"/>
      <c r="Y171" s="747"/>
      <c r="Z171" s="747"/>
      <c r="AA171" s="747"/>
      <c r="AB171" s="747"/>
      <c r="AC171" s="747"/>
      <c r="AD171" s="747"/>
      <c r="AE171" s="583"/>
      <c r="AF171" s="583"/>
      <c r="AG171" s="583"/>
      <c r="AH171" s="583"/>
      <c r="AI171" s="761"/>
      <c r="AJ171" s="762"/>
      <c r="AK171" s="762"/>
      <c r="AL171" s="762"/>
      <c r="AM171" s="762"/>
      <c r="AN171" s="762"/>
      <c r="AO171" s="762"/>
      <c r="AP171" s="763"/>
      <c r="AR171" s="119"/>
      <c r="AS171" s="119"/>
    </row>
    <row r="172" spans="2:45" ht="27" customHeight="1" x14ac:dyDescent="0.4">
      <c r="B172" s="644" t="str">
        <f ca="1">DBCS(INDIRECT("U12対戦スケジュール!ｇ"&amp;(ROW())/2-37))</f>
        <v>③</v>
      </c>
      <c r="C172" s="645">
        <f ca="1">INDIRECT("U12対戦スケジュール!ｈ"&amp;(ROW())/2-37)</f>
        <v>0.45899999999999996</v>
      </c>
      <c r="D172" s="646"/>
      <c r="E172" s="647"/>
      <c r="F172" s="583"/>
      <c r="G172" s="583"/>
      <c r="H172" s="583"/>
      <c r="I172" s="583"/>
      <c r="J172" s="746" t="str">
        <f ca="1">VLOOKUP(AR172,U12組合せ!B$10:K$19,5,TRUE)</f>
        <v>サウス宇都宮SC</v>
      </c>
      <c r="K172" s="747"/>
      <c r="L172" s="747"/>
      <c r="M172" s="747"/>
      <c r="N172" s="747"/>
      <c r="O172" s="747"/>
      <c r="P172" s="747"/>
      <c r="Q172" s="634">
        <f>IF(OR(S172="",S173=""),"",S172+S173)</f>
        <v>1</v>
      </c>
      <c r="R172" s="634"/>
      <c r="S172" s="100">
        <v>0</v>
      </c>
      <c r="T172" s="101" t="s">
        <v>7</v>
      </c>
      <c r="U172" s="100">
        <v>2</v>
      </c>
      <c r="V172" s="634">
        <f>IF(OR(U172="",U173=""),"",U172+U173)</f>
        <v>5</v>
      </c>
      <c r="W172" s="634"/>
      <c r="X172" s="746" t="str">
        <f ca="1">VLOOKUP(AS172,U12組合せ!B$10:K$19,5,TRUE)</f>
        <v>緑ヶ丘ＹＦＣ</v>
      </c>
      <c r="Y172" s="747"/>
      <c r="Z172" s="747"/>
      <c r="AA172" s="747"/>
      <c r="AB172" s="747"/>
      <c r="AC172" s="747"/>
      <c r="AD172" s="747"/>
      <c r="AE172" s="583"/>
      <c r="AF172" s="583"/>
      <c r="AG172" s="583"/>
      <c r="AH172" s="583"/>
      <c r="AI172" s="758" t="str">
        <f ca="1">DBCS(INDIRECT("U12対戦スケジュール!L"&amp;(ROW())/2-37))</f>
        <v>６／９／３／６</v>
      </c>
      <c r="AJ172" s="759"/>
      <c r="AK172" s="759"/>
      <c r="AL172" s="759"/>
      <c r="AM172" s="759"/>
      <c r="AN172" s="759"/>
      <c r="AO172" s="759"/>
      <c r="AP172" s="760"/>
      <c r="AR172" s="119">
        <f ca="1">INDIRECT("U12対戦スケジュール!I"&amp;(ROW())/2-37)</f>
        <v>9</v>
      </c>
      <c r="AS172" s="119">
        <f ca="1">INDIRECT("U12対戦スケジュール!K"&amp;(ROW())/2-37)</f>
        <v>3</v>
      </c>
    </row>
    <row r="173" spans="2:45" ht="27" customHeight="1" x14ac:dyDescent="0.4">
      <c r="B173" s="644"/>
      <c r="C173" s="648"/>
      <c r="D173" s="649"/>
      <c r="E173" s="650"/>
      <c r="F173" s="583"/>
      <c r="G173" s="583"/>
      <c r="H173" s="583"/>
      <c r="I173" s="583"/>
      <c r="J173" s="747"/>
      <c r="K173" s="747"/>
      <c r="L173" s="747"/>
      <c r="M173" s="747"/>
      <c r="N173" s="747"/>
      <c r="O173" s="747"/>
      <c r="P173" s="747"/>
      <c r="Q173" s="634"/>
      <c r="R173" s="634"/>
      <c r="S173" s="100">
        <v>1</v>
      </c>
      <c r="T173" s="101" t="s">
        <v>7</v>
      </c>
      <c r="U173" s="100">
        <v>3</v>
      </c>
      <c r="V173" s="634"/>
      <c r="W173" s="634"/>
      <c r="X173" s="747"/>
      <c r="Y173" s="747"/>
      <c r="Z173" s="747"/>
      <c r="AA173" s="747"/>
      <c r="AB173" s="747"/>
      <c r="AC173" s="747"/>
      <c r="AD173" s="747"/>
      <c r="AE173" s="583"/>
      <c r="AF173" s="583"/>
      <c r="AG173" s="583"/>
      <c r="AH173" s="583"/>
      <c r="AI173" s="761"/>
      <c r="AJ173" s="762"/>
      <c r="AK173" s="762"/>
      <c r="AL173" s="762"/>
      <c r="AM173" s="762"/>
      <c r="AN173" s="762"/>
      <c r="AO173" s="762"/>
      <c r="AP173" s="763"/>
      <c r="AR173" s="119"/>
      <c r="AS173" s="119"/>
    </row>
    <row r="174" spans="2:45" ht="27" customHeight="1" x14ac:dyDescent="0.4">
      <c r="B174" s="586"/>
      <c r="C174" s="739"/>
      <c r="D174" s="740"/>
      <c r="E174" s="741"/>
      <c r="F174" s="704"/>
      <c r="G174" s="704"/>
      <c r="H174" s="704"/>
      <c r="I174" s="704"/>
      <c r="J174" s="701"/>
      <c r="K174" s="702"/>
      <c r="L174" s="702"/>
      <c r="M174" s="702"/>
      <c r="N174" s="702"/>
      <c r="O174" s="702"/>
      <c r="P174" s="702"/>
      <c r="Q174" s="705"/>
      <c r="R174" s="705"/>
      <c r="S174" s="109"/>
      <c r="T174" s="110"/>
      <c r="U174" s="109"/>
      <c r="V174" s="705"/>
      <c r="W174" s="705"/>
      <c r="X174" s="701"/>
      <c r="Y174" s="702"/>
      <c r="Z174" s="702"/>
      <c r="AA174" s="702"/>
      <c r="AB174" s="702"/>
      <c r="AC174" s="702"/>
      <c r="AD174" s="702"/>
      <c r="AE174" s="704"/>
      <c r="AF174" s="704"/>
      <c r="AG174" s="704"/>
      <c r="AH174" s="704"/>
      <c r="AI174" s="706"/>
      <c r="AJ174" s="707"/>
      <c r="AK174" s="707"/>
      <c r="AL174" s="707"/>
      <c r="AM174" s="707"/>
      <c r="AN174" s="707"/>
      <c r="AO174" s="707"/>
      <c r="AP174" s="707"/>
      <c r="AR174" s="119"/>
      <c r="AS174" s="119"/>
    </row>
    <row r="175" spans="2:45" ht="27" customHeight="1" x14ac:dyDescent="0.4">
      <c r="B175" s="644"/>
      <c r="C175" s="648"/>
      <c r="D175" s="649"/>
      <c r="E175" s="650"/>
      <c r="F175" s="583"/>
      <c r="G175" s="583"/>
      <c r="H175" s="583"/>
      <c r="I175" s="583"/>
      <c r="J175" s="703"/>
      <c r="K175" s="703"/>
      <c r="L175" s="703"/>
      <c r="M175" s="703"/>
      <c r="N175" s="703"/>
      <c r="O175" s="703"/>
      <c r="P175" s="703"/>
      <c r="Q175" s="634"/>
      <c r="R175" s="634"/>
      <c r="S175" s="100"/>
      <c r="T175" s="101"/>
      <c r="U175" s="100"/>
      <c r="V175" s="634"/>
      <c r="W175" s="634"/>
      <c r="X175" s="703"/>
      <c r="Y175" s="703"/>
      <c r="Z175" s="703"/>
      <c r="AA175" s="703"/>
      <c r="AB175" s="703"/>
      <c r="AC175" s="703"/>
      <c r="AD175" s="703"/>
      <c r="AE175" s="583"/>
      <c r="AF175" s="583"/>
      <c r="AG175" s="583"/>
      <c r="AH175" s="583"/>
      <c r="AI175" s="708"/>
      <c r="AJ175" s="708"/>
      <c r="AK175" s="708"/>
      <c r="AL175" s="708"/>
      <c r="AM175" s="708"/>
      <c r="AN175" s="708"/>
      <c r="AO175" s="708"/>
      <c r="AP175" s="708"/>
      <c r="AR175" s="119"/>
      <c r="AS175" s="119"/>
    </row>
    <row r="176" spans="2:45" ht="27" customHeight="1" x14ac:dyDescent="0.4">
      <c r="B176" s="585"/>
      <c r="C176" s="587"/>
      <c r="D176" s="588"/>
      <c r="E176" s="589"/>
      <c r="F176" s="622"/>
      <c r="G176" s="623"/>
      <c r="H176" s="623"/>
      <c r="I176" s="624"/>
      <c r="J176" s="689"/>
      <c r="K176" s="690"/>
      <c r="L176" s="690"/>
      <c r="M176" s="690"/>
      <c r="N176" s="690"/>
      <c r="O176" s="690"/>
      <c r="P176" s="691"/>
      <c r="Q176" s="628"/>
      <c r="R176" s="630"/>
      <c r="S176" s="100"/>
      <c r="T176" s="101"/>
      <c r="U176" s="100"/>
      <c r="V176" s="628"/>
      <c r="W176" s="630"/>
      <c r="X176" s="695"/>
      <c r="Y176" s="696"/>
      <c r="Z176" s="696"/>
      <c r="AA176" s="696"/>
      <c r="AB176" s="696"/>
      <c r="AC176" s="696"/>
      <c r="AD176" s="697"/>
      <c r="AE176" s="622"/>
      <c r="AF176" s="623"/>
      <c r="AG176" s="623"/>
      <c r="AH176" s="624"/>
      <c r="AI176" s="628"/>
      <c r="AJ176" s="629"/>
      <c r="AK176" s="629"/>
      <c r="AL176" s="629"/>
      <c r="AM176" s="629"/>
      <c r="AN176" s="629"/>
      <c r="AO176" s="629"/>
      <c r="AP176" s="630"/>
    </row>
    <row r="177" spans="1:44" ht="27" customHeight="1" x14ac:dyDescent="0.4">
      <c r="B177" s="586"/>
      <c r="C177" s="590"/>
      <c r="D177" s="591"/>
      <c r="E177" s="592"/>
      <c r="F177" s="625"/>
      <c r="G177" s="626"/>
      <c r="H177" s="626"/>
      <c r="I177" s="627"/>
      <c r="J177" s="692"/>
      <c r="K177" s="693"/>
      <c r="L177" s="693"/>
      <c r="M177" s="693"/>
      <c r="N177" s="693"/>
      <c r="O177" s="693"/>
      <c r="P177" s="694"/>
      <c r="Q177" s="631"/>
      <c r="R177" s="633"/>
      <c r="S177" s="100"/>
      <c r="T177" s="101"/>
      <c r="U177" s="100"/>
      <c r="V177" s="631"/>
      <c r="W177" s="633"/>
      <c r="X177" s="698"/>
      <c r="Y177" s="699"/>
      <c r="Z177" s="699"/>
      <c r="AA177" s="699"/>
      <c r="AB177" s="699"/>
      <c r="AC177" s="699"/>
      <c r="AD177" s="700"/>
      <c r="AE177" s="625"/>
      <c r="AF177" s="626"/>
      <c r="AG177" s="626"/>
      <c r="AH177" s="627"/>
      <c r="AI177" s="631"/>
      <c r="AJ177" s="632"/>
      <c r="AK177" s="632"/>
      <c r="AL177" s="632"/>
      <c r="AM177" s="632"/>
      <c r="AN177" s="632"/>
      <c r="AO177" s="632"/>
      <c r="AP177" s="633"/>
    </row>
    <row r="178" spans="1:44" ht="27" customHeight="1" x14ac:dyDescent="0.4">
      <c r="B178" s="585"/>
      <c r="C178" s="587"/>
      <c r="D178" s="588"/>
      <c r="E178" s="589"/>
      <c r="F178" s="622"/>
      <c r="G178" s="623"/>
      <c r="H178" s="623"/>
      <c r="I178" s="624"/>
      <c r="J178" s="689"/>
      <c r="K178" s="690"/>
      <c r="L178" s="690"/>
      <c r="M178" s="690"/>
      <c r="N178" s="690"/>
      <c r="O178" s="690"/>
      <c r="P178" s="691"/>
      <c r="Q178" s="628"/>
      <c r="R178" s="630"/>
      <c r="S178" s="100"/>
      <c r="T178" s="101"/>
      <c r="U178" s="100"/>
      <c r="V178" s="628"/>
      <c r="W178" s="630"/>
      <c r="X178" s="695"/>
      <c r="Y178" s="696"/>
      <c r="Z178" s="696"/>
      <c r="AA178" s="696"/>
      <c r="AB178" s="696"/>
      <c r="AC178" s="696"/>
      <c r="AD178" s="697"/>
      <c r="AE178" s="622"/>
      <c r="AF178" s="623"/>
      <c r="AG178" s="623"/>
      <c r="AH178" s="624"/>
      <c r="AI178" s="628"/>
      <c r="AJ178" s="629"/>
      <c r="AK178" s="629"/>
      <c r="AL178" s="629"/>
      <c r="AM178" s="629"/>
      <c r="AN178" s="629"/>
      <c r="AO178" s="629"/>
      <c r="AP178" s="630"/>
    </row>
    <row r="179" spans="1:44" ht="27" customHeight="1" x14ac:dyDescent="0.4">
      <c r="B179" s="586"/>
      <c r="C179" s="590"/>
      <c r="D179" s="591"/>
      <c r="E179" s="592"/>
      <c r="F179" s="625"/>
      <c r="G179" s="626"/>
      <c r="H179" s="626"/>
      <c r="I179" s="627"/>
      <c r="J179" s="692"/>
      <c r="K179" s="693"/>
      <c r="L179" s="693"/>
      <c r="M179" s="693"/>
      <c r="N179" s="693"/>
      <c r="O179" s="693"/>
      <c r="P179" s="694"/>
      <c r="Q179" s="631"/>
      <c r="R179" s="633"/>
      <c r="S179" s="100"/>
      <c r="T179" s="101"/>
      <c r="U179" s="100"/>
      <c r="V179" s="631"/>
      <c r="W179" s="633"/>
      <c r="X179" s="698"/>
      <c r="Y179" s="699"/>
      <c r="Z179" s="699"/>
      <c r="AA179" s="699"/>
      <c r="AB179" s="699"/>
      <c r="AC179" s="699"/>
      <c r="AD179" s="700"/>
      <c r="AE179" s="625"/>
      <c r="AF179" s="626"/>
      <c r="AG179" s="626"/>
      <c r="AH179" s="627"/>
      <c r="AI179" s="631"/>
      <c r="AJ179" s="632"/>
      <c r="AK179" s="632"/>
      <c r="AL179" s="632"/>
      <c r="AM179" s="632"/>
      <c r="AN179" s="632"/>
      <c r="AO179" s="632"/>
      <c r="AP179" s="633"/>
    </row>
    <row r="180" spans="1:44" ht="27" customHeight="1" x14ac:dyDescent="0.4">
      <c r="B180" s="585"/>
      <c r="C180" s="587"/>
      <c r="D180" s="588"/>
      <c r="E180" s="589"/>
      <c r="F180" s="622"/>
      <c r="G180" s="623"/>
      <c r="H180" s="623"/>
      <c r="I180" s="624"/>
      <c r="J180" s="689"/>
      <c r="K180" s="690"/>
      <c r="L180" s="690"/>
      <c r="M180" s="690"/>
      <c r="N180" s="690"/>
      <c r="O180" s="690"/>
      <c r="P180" s="691"/>
      <c r="Q180" s="628"/>
      <c r="R180" s="630"/>
      <c r="S180" s="100"/>
      <c r="T180" s="101"/>
      <c r="U180" s="100"/>
      <c r="V180" s="628"/>
      <c r="W180" s="630"/>
      <c r="X180" s="695"/>
      <c r="Y180" s="696"/>
      <c r="Z180" s="696"/>
      <c r="AA180" s="696"/>
      <c r="AB180" s="696"/>
      <c r="AC180" s="696"/>
      <c r="AD180" s="697"/>
      <c r="AE180" s="622"/>
      <c r="AF180" s="623"/>
      <c r="AG180" s="623"/>
      <c r="AH180" s="624"/>
      <c r="AI180" s="628"/>
      <c r="AJ180" s="629"/>
      <c r="AK180" s="629"/>
      <c r="AL180" s="629"/>
      <c r="AM180" s="629"/>
      <c r="AN180" s="629"/>
      <c r="AO180" s="629"/>
      <c r="AP180" s="630"/>
    </row>
    <row r="181" spans="1:44" ht="27" customHeight="1" x14ac:dyDescent="0.4">
      <c r="B181" s="586"/>
      <c r="C181" s="590"/>
      <c r="D181" s="591"/>
      <c r="E181" s="592"/>
      <c r="F181" s="625"/>
      <c r="G181" s="626"/>
      <c r="H181" s="626"/>
      <c r="I181" s="627"/>
      <c r="J181" s="692"/>
      <c r="K181" s="693"/>
      <c r="L181" s="693"/>
      <c r="M181" s="693"/>
      <c r="N181" s="693"/>
      <c r="O181" s="693"/>
      <c r="P181" s="694"/>
      <c r="Q181" s="631"/>
      <c r="R181" s="633"/>
      <c r="S181" s="100"/>
      <c r="T181" s="101"/>
      <c r="U181" s="100"/>
      <c r="V181" s="631"/>
      <c r="W181" s="633"/>
      <c r="X181" s="698"/>
      <c r="Y181" s="699"/>
      <c r="Z181" s="699"/>
      <c r="AA181" s="699"/>
      <c r="AB181" s="699"/>
      <c r="AC181" s="699"/>
      <c r="AD181" s="700"/>
      <c r="AE181" s="625"/>
      <c r="AF181" s="626"/>
      <c r="AG181" s="626"/>
      <c r="AH181" s="627"/>
      <c r="AI181" s="631"/>
      <c r="AJ181" s="632"/>
      <c r="AK181" s="632"/>
      <c r="AL181" s="632"/>
      <c r="AM181" s="632"/>
      <c r="AN181" s="632"/>
      <c r="AO181" s="632"/>
      <c r="AP181" s="633"/>
    </row>
    <row r="182" spans="1:44" ht="27" customHeight="1" thickBot="1" x14ac:dyDescent="0.45">
      <c r="A182" s="102"/>
      <c r="B182" s="103"/>
      <c r="C182" s="104"/>
      <c r="D182" s="104"/>
      <c r="E182" s="104"/>
      <c r="F182" s="103"/>
      <c r="G182" s="103"/>
      <c r="H182" s="103"/>
      <c r="I182" s="103"/>
      <c r="J182" s="103"/>
      <c r="K182" s="105"/>
      <c r="L182" s="105"/>
      <c r="M182" s="106"/>
      <c r="N182" s="107"/>
      <c r="O182" s="106"/>
      <c r="P182" s="105"/>
      <c r="Q182" s="105"/>
      <c r="R182" s="103"/>
      <c r="S182" s="103"/>
      <c r="T182" s="103"/>
      <c r="U182" s="103"/>
      <c r="V182" s="103"/>
      <c r="W182" s="108"/>
      <c r="X182" s="108"/>
      <c r="Y182" s="108"/>
      <c r="Z182" s="108"/>
      <c r="AA182" s="108"/>
      <c r="AB182" s="108"/>
      <c r="AC182" s="102"/>
    </row>
    <row r="183" spans="1:44" ht="27" customHeight="1" thickBot="1" x14ac:dyDescent="0.45">
      <c r="D183" s="664" t="s">
        <v>8</v>
      </c>
      <c r="E183" s="665"/>
      <c r="F183" s="665"/>
      <c r="G183" s="665"/>
      <c r="H183" s="665"/>
      <c r="I183" s="666"/>
      <c r="J183" s="667" t="s">
        <v>5</v>
      </c>
      <c r="K183" s="665"/>
      <c r="L183" s="665"/>
      <c r="M183" s="665"/>
      <c r="N183" s="665"/>
      <c r="O183" s="665"/>
      <c r="P183" s="665"/>
      <c r="Q183" s="666"/>
      <c r="R183" s="668" t="s">
        <v>9</v>
      </c>
      <c r="S183" s="669"/>
      <c r="T183" s="669"/>
      <c r="U183" s="669"/>
      <c r="V183" s="669"/>
      <c r="W183" s="669"/>
      <c r="X183" s="669"/>
      <c r="Y183" s="669"/>
      <c r="Z183" s="670"/>
      <c r="AA183" s="609" t="s">
        <v>10</v>
      </c>
      <c r="AB183" s="610"/>
      <c r="AC183" s="671"/>
      <c r="AD183" s="609" t="s">
        <v>11</v>
      </c>
      <c r="AE183" s="610"/>
      <c r="AF183" s="610"/>
      <c r="AG183" s="610"/>
      <c r="AH183" s="610"/>
      <c r="AI183" s="610"/>
      <c r="AJ183" s="610"/>
      <c r="AK183" s="610"/>
      <c r="AL183" s="610"/>
      <c r="AM183" s="611"/>
    </row>
    <row r="184" spans="1:44" ht="27" customHeight="1" x14ac:dyDescent="0.4">
      <c r="D184" s="651" t="s">
        <v>298</v>
      </c>
      <c r="E184" s="652"/>
      <c r="F184" s="652"/>
      <c r="G184" s="652"/>
      <c r="H184" s="652"/>
      <c r="I184" s="653"/>
      <c r="J184" s="654"/>
      <c r="K184" s="652"/>
      <c r="L184" s="652"/>
      <c r="M184" s="652"/>
      <c r="N184" s="652"/>
      <c r="O184" s="652"/>
      <c r="P184" s="652"/>
      <c r="Q184" s="653"/>
      <c r="R184" s="655"/>
      <c r="S184" s="656"/>
      <c r="T184" s="656"/>
      <c r="U184" s="656"/>
      <c r="V184" s="656"/>
      <c r="W184" s="656"/>
      <c r="X184" s="656"/>
      <c r="Y184" s="656"/>
      <c r="Z184" s="657"/>
      <c r="AA184" s="658"/>
      <c r="AB184" s="659"/>
      <c r="AC184" s="660"/>
      <c r="AD184" s="661"/>
      <c r="AE184" s="662"/>
      <c r="AF184" s="662"/>
      <c r="AG184" s="662"/>
      <c r="AH184" s="662"/>
      <c r="AI184" s="662"/>
      <c r="AJ184" s="662"/>
      <c r="AK184" s="662"/>
      <c r="AL184" s="662"/>
      <c r="AM184" s="663"/>
    </row>
    <row r="185" spans="1:44" ht="27" customHeight="1" x14ac:dyDescent="0.4">
      <c r="D185" s="688" t="s">
        <v>12</v>
      </c>
      <c r="E185" s="604"/>
      <c r="F185" s="604"/>
      <c r="G185" s="604"/>
      <c r="H185" s="604"/>
      <c r="I185" s="605"/>
      <c r="J185" s="603"/>
      <c r="K185" s="604"/>
      <c r="L185" s="604"/>
      <c r="M185" s="604"/>
      <c r="N185" s="604"/>
      <c r="O185" s="604"/>
      <c r="P185" s="604"/>
      <c r="Q185" s="605"/>
      <c r="R185" s="606"/>
      <c r="S185" s="607"/>
      <c r="T185" s="607"/>
      <c r="U185" s="607"/>
      <c r="V185" s="607"/>
      <c r="W185" s="607"/>
      <c r="X185" s="607"/>
      <c r="Y185" s="607"/>
      <c r="Z185" s="608"/>
      <c r="AA185" s="606"/>
      <c r="AB185" s="607"/>
      <c r="AC185" s="608"/>
      <c r="AD185" s="672"/>
      <c r="AE185" s="673"/>
      <c r="AF185" s="673"/>
      <c r="AG185" s="673"/>
      <c r="AH185" s="673"/>
      <c r="AI185" s="673"/>
      <c r="AJ185" s="673"/>
      <c r="AK185" s="673"/>
      <c r="AL185" s="673"/>
      <c r="AM185" s="674"/>
    </row>
    <row r="186" spans="1:44" ht="27" customHeight="1" thickBot="1" x14ac:dyDescent="0.45">
      <c r="D186" s="675" t="s">
        <v>12</v>
      </c>
      <c r="E186" s="676"/>
      <c r="F186" s="676"/>
      <c r="G186" s="676"/>
      <c r="H186" s="676"/>
      <c r="I186" s="677"/>
      <c r="J186" s="678"/>
      <c r="K186" s="676"/>
      <c r="L186" s="676"/>
      <c r="M186" s="676"/>
      <c r="N186" s="676"/>
      <c r="O186" s="676"/>
      <c r="P186" s="676"/>
      <c r="Q186" s="677"/>
      <c r="R186" s="679"/>
      <c r="S186" s="680"/>
      <c r="T186" s="680"/>
      <c r="U186" s="680"/>
      <c r="V186" s="680"/>
      <c r="W186" s="680"/>
      <c r="X186" s="680"/>
      <c r="Y186" s="680"/>
      <c r="Z186" s="681"/>
      <c r="AA186" s="682"/>
      <c r="AB186" s="683"/>
      <c r="AC186" s="684"/>
      <c r="AD186" s="685"/>
      <c r="AE186" s="686"/>
      <c r="AF186" s="686"/>
      <c r="AG186" s="686"/>
      <c r="AH186" s="686"/>
      <c r="AI186" s="686"/>
      <c r="AJ186" s="686"/>
      <c r="AK186" s="686"/>
      <c r="AL186" s="686"/>
      <c r="AM186" s="687"/>
    </row>
    <row r="187" spans="1:44" ht="27" customHeight="1" x14ac:dyDescent="0.4"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5"/>
      <c r="S187" s="105"/>
      <c r="T187" s="105"/>
      <c r="U187" s="105"/>
      <c r="V187" s="105"/>
      <c r="W187" s="105"/>
      <c r="X187" s="105"/>
      <c r="Y187" s="105"/>
      <c r="Z187" s="105"/>
      <c r="AA187" s="126"/>
      <c r="AB187" s="126"/>
      <c r="AC187" s="137"/>
      <c r="AD187" s="138"/>
      <c r="AE187" s="138"/>
      <c r="AF187" s="138"/>
      <c r="AG187" s="138"/>
      <c r="AH187" s="138"/>
      <c r="AI187" s="138"/>
      <c r="AJ187" s="138"/>
      <c r="AK187" s="120"/>
      <c r="AL187" s="120"/>
      <c r="AM187" s="120"/>
    </row>
    <row r="188" spans="1:44" ht="27" customHeight="1" x14ac:dyDescent="0.4">
      <c r="A188" s="115"/>
      <c r="B188" s="599" t="str">
        <f>U12組合せ!$B$1</f>
        <v>ＪＦＡ　Ｕ-１２サッカーリーグ2021（in栃木） 宇都宮地区リーグ戦（前期）</v>
      </c>
      <c r="C188" s="599"/>
      <c r="D188" s="599"/>
      <c r="E188" s="599"/>
      <c r="F188" s="599"/>
      <c r="G188" s="599"/>
      <c r="H188" s="599"/>
      <c r="I188" s="599"/>
      <c r="J188" s="599"/>
      <c r="K188" s="599"/>
      <c r="L188" s="599"/>
      <c r="M188" s="599"/>
      <c r="N188" s="599"/>
      <c r="O188" s="599"/>
      <c r="P188" s="599"/>
      <c r="Q188" s="599"/>
      <c r="R188" s="599"/>
      <c r="S188" s="599"/>
      <c r="T188" s="599"/>
      <c r="U188" s="599"/>
      <c r="V188" s="599"/>
      <c r="W188" s="599"/>
      <c r="X188" s="599"/>
      <c r="Y188" s="599"/>
      <c r="Z188" s="599"/>
      <c r="AA188" s="599"/>
      <c r="AB188" s="599"/>
      <c r="AC188" s="612" t="str">
        <f>"【"&amp;(U12組合せ!$F$3)&amp;"】"</f>
        <v>【Ｂ ブロック】</v>
      </c>
      <c r="AD188" s="612"/>
      <c r="AE188" s="612"/>
      <c r="AF188" s="612"/>
      <c r="AG188" s="612"/>
      <c r="AH188" s="612"/>
      <c r="AI188" s="612"/>
      <c r="AJ188" s="612"/>
      <c r="AK188" s="602" t="str">
        <f>"第"&amp;(U12組合せ!$D$33)</f>
        <v>第３節</v>
      </c>
      <c r="AL188" s="602"/>
      <c r="AM188" s="602"/>
      <c r="AN188" s="602"/>
      <c r="AO188" s="602"/>
      <c r="AP188" s="597" t="s">
        <v>299</v>
      </c>
      <c r="AQ188" s="598"/>
    </row>
    <row r="189" spans="1:44" ht="27" customHeight="1" x14ac:dyDescent="0.4">
      <c r="A189" s="115"/>
      <c r="B189" s="599"/>
      <c r="C189" s="599"/>
      <c r="D189" s="599"/>
      <c r="E189" s="599"/>
      <c r="F189" s="599"/>
      <c r="G189" s="599"/>
      <c r="H189" s="599"/>
      <c r="I189" s="599"/>
      <c r="J189" s="599"/>
      <c r="K189" s="599"/>
      <c r="L189" s="599"/>
      <c r="M189" s="599"/>
      <c r="N189" s="599"/>
      <c r="O189" s="599"/>
      <c r="P189" s="599"/>
      <c r="Q189" s="599"/>
      <c r="R189" s="599"/>
      <c r="S189" s="599"/>
      <c r="T189" s="599"/>
      <c r="U189" s="599"/>
      <c r="V189" s="599"/>
      <c r="W189" s="599"/>
      <c r="X189" s="599"/>
      <c r="Y189" s="599"/>
      <c r="Z189" s="599"/>
      <c r="AA189" s="599"/>
      <c r="AB189" s="599"/>
      <c r="AC189" s="601"/>
      <c r="AD189" s="601"/>
      <c r="AE189" s="601"/>
      <c r="AF189" s="601"/>
      <c r="AG189" s="601"/>
      <c r="AH189" s="601"/>
      <c r="AI189" s="601"/>
      <c r="AJ189" s="601"/>
      <c r="AK189" s="601"/>
      <c r="AL189" s="601"/>
      <c r="AM189" s="601"/>
      <c r="AN189" s="601"/>
      <c r="AO189" s="612"/>
      <c r="AP189" s="598"/>
      <c r="AQ189" s="598"/>
    </row>
    <row r="190" spans="1:44" ht="27" customHeight="1" x14ac:dyDescent="0.4">
      <c r="C190" s="635" t="s">
        <v>1</v>
      </c>
      <c r="D190" s="635"/>
      <c r="E190" s="635"/>
      <c r="F190" s="635"/>
      <c r="G190" s="725" t="str">
        <f>U12対戦スケジュール!I54</f>
        <v>雀宮南小 AM</v>
      </c>
      <c r="H190" s="726"/>
      <c r="I190" s="726"/>
      <c r="J190" s="726"/>
      <c r="K190" s="726"/>
      <c r="L190" s="726"/>
      <c r="M190" s="726"/>
      <c r="N190" s="726"/>
      <c r="O190" s="727"/>
      <c r="P190" s="635" t="s">
        <v>0</v>
      </c>
      <c r="Q190" s="635"/>
      <c r="R190" s="635"/>
      <c r="S190" s="635"/>
      <c r="T190" s="636" t="str">
        <f>AG194</f>
        <v>サウス宇都宮SC</v>
      </c>
      <c r="U190" s="636"/>
      <c r="V190" s="636"/>
      <c r="W190" s="636"/>
      <c r="X190" s="636"/>
      <c r="Y190" s="636"/>
      <c r="Z190" s="636"/>
      <c r="AA190" s="636"/>
      <c r="AB190" s="636"/>
      <c r="AC190" s="635" t="s">
        <v>2</v>
      </c>
      <c r="AD190" s="635"/>
      <c r="AE190" s="635"/>
      <c r="AF190" s="635"/>
      <c r="AG190" s="618">
        <f>U12組合せ!B$33</f>
        <v>44325</v>
      </c>
      <c r="AH190" s="619"/>
      <c r="AI190" s="619"/>
      <c r="AJ190" s="619"/>
      <c r="AK190" s="619"/>
      <c r="AL190" s="619"/>
      <c r="AM190" s="620" t="str">
        <f>"（"&amp;TEXT(AG190,"aaa")&amp;"）"</f>
        <v>（日）</v>
      </c>
      <c r="AN190" s="620"/>
      <c r="AO190" s="621"/>
      <c r="AP190" s="116"/>
    </row>
    <row r="191" spans="1:44" ht="27" customHeight="1" x14ac:dyDescent="0.4">
      <c r="C191" s="96" t="str">
        <f>U12組合せ!G34</f>
        <v>B159</v>
      </c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95"/>
      <c r="X191" s="95"/>
      <c r="Y191" s="95"/>
      <c r="Z191" s="95"/>
      <c r="AA191" s="95"/>
      <c r="AB191" s="95"/>
      <c r="AC191" s="95"/>
    </row>
    <row r="192" spans="1:44" ht="27" customHeight="1" x14ac:dyDescent="0.4">
      <c r="C192" s="636">
        <v>1</v>
      </c>
      <c r="D192" s="636"/>
      <c r="E192" s="709" t="str">
        <f>VLOOKUP(C192,U12組合せ!B$10:K$19,5,TRUE)</f>
        <v>スポルト宇都宮U12</v>
      </c>
      <c r="F192" s="709"/>
      <c r="G192" s="709"/>
      <c r="H192" s="709"/>
      <c r="I192" s="709"/>
      <c r="J192" s="709"/>
      <c r="K192" s="709"/>
      <c r="L192" s="709"/>
      <c r="M192" s="709"/>
      <c r="N192" s="709"/>
      <c r="O192" s="94"/>
      <c r="P192" s="94"/>
      <c r="Q192" s="637">
        <v>4</v>
      </c>
      <c r="R192" s="637"/>
      <c r="S192" s="584" t="str">
        <f>VLOOKUP(Q192,U12組合せ!B$10:K$19,5,TRUE)</f>
        <v>昭和・戸祭SC</v>
      </c>
      <c r="T192" s="584"/>
      <c r="U192" s="584"/>
      <c r="V192" s="584"/>
      <c r="W192" s="584"/>
      <c r="X192" s="584"/>
      <c r="Y192" s="584"/>
      <c r="Z192" s="584"/>
      <c r="AA192" s="584"/>
      <c r="AB192" s="584"/>
      <c r="AC192" s="92"/>
      <c r="AD192" s="93"/>
      <c r="AE192" s="637">
        <v>7</v>
      </c>
      <c r="AF192" s="637"/>
      <c r="AG192" s="584" t="str">
        <f>VLOOKUP(AE192,U12組合せ!B$10:K$19,5,TRUE)</f>
        <v>上三川SC</v>
      </c>
      <c r="AH192" s="584"/>
      <c r="AI192" s="584"/>
      <c r="AJ192" s="584"/>
      <c r="AK192" s="584"/>
      <c r="AL192" s="584"/>
      <c r="AM192" s="584"/>
      <c r="AN192" s="584"/>
      <c r="AO192" s="584"/>
      <c r="AP192" s="584"/>
      <c r="AR192" s="96">
        <f>198/2</f>
        <v>99</v>
      </c>
    </row>
    <row r="193" spans="2:45" ht="27" customHeight="1" x14ac:dyDescent="0.4">
      <c r="C193" s="637">
        <v>2</v>
      </c>
      <c r="D193" s="637"/>
      <c r="E193" s="584" t="str">
        <f>VLOOKUP(C193,U12組合せ!B$10:K$19,5,TRUE)</f>
        <v>ウエストフットコム</v>
      </c>
      <c r="F193" s="584"/>
      <c r="G193" s="584"/>
      <c r="H193" s="584"/>
      <c r="I193" s="584"/>
      <c r="J193" s="584"/>
      <c r="K193" s="584"/>
      <c r="L193" s="584"/>
      <c r="M193" s="584"/>
      <c r="N193" s="584"/>
      <c r="O193" s="94"/>
      <c r="P193" s="94"/>
      <c r="Q193" s="636">
        <v>5</v>
      </c>
      <c r="R193" s="636"/>
      <c r="S193" s="709" t="str">
        <f>VLOOKUP(Q193,U12組合せ!B$10:K$19,5,TRUE)</f>
        <v>岡西FC</v>
      </c>
      <c r="T193" s="709"/>
      <c r="U193" s="709"/>
      <c r="V193" s="709"/>
      <c r="W193" s="709"/>
      <c r="X193" s="709"/>
      <c r="Y193" s="709"/>
      <c r="Z193" s="709"/>
      <c r="AA193" s="709"/>
      <c r="AB193" s="709"/>
      <c r="AC193" s="92"/>
      <c r="AD193" s="93"/>
      <c r="AE193" s="637">
        <v>8</v>
      </c>
      <c r="AF193" s="637"/>
      <c r="AG193" s="584" t="str">
        <f>VLOOKUP(AE193,U12組合せ!B$10:'U12組合せ'!K$19,5,TRUE)</f>
        <v>宇都宮FCジュニア</v>
      </c>
      <c r="AH193" s="584"/>
      <c r="AI193" s="584"/>
      <c r="AJ193" s="584"/>
      <c r="AK193" s="584"/>
      <c r="AL193" s="584"/>
      <c r="AM193" s="584"/>
      <c r="AN193" s="584"/>
      <c r="AO193" s="584"/>
      <c r="AP193" s="584"/>
      <c r="AR193" s="96">
        <v>56</v>
      </c>
    </row>
    <row r="194" spans="2:45" ht="27" customHeight="1" x14ac:dyDescent="0.4">
      <c r="C194" s="637">
        <v>3</v>
      </c>
      <c r="D194" s="637"/>
      <c r="E194" s="584" t="str">
        <f>VLOOKUP(C194,U12組合せ!B$10:K$19,5,TRUE)</f>
        <v>緑ヶ丘ＹＦＣ</v>
      </c>
      <c r="F194" s="584"/>
      <c r="G194" s="584"/>
      <c r="H194" s="584"/>
      <c r="I194" s="584"/>
      <c r="J194" s="584"/>
      <c r="K194" s="584"/>
      <c r="L194" s="584"/>
      <c r="M194" s="584"/>
      <c r="N194" s="584"/>
      <c r="O194" s="94"/>
      <c r="P194" s="94"/>
      <c r="Q194" s="637">
        <v>6</v>
      </c>
      <c r="R194" s="637"/>
      <c r="S194" s="584" t="str">
        <f>VLOOKUP(Q194,U12組合せ!B$10:K$19,5,TRUE)</f>
        <v>FCグラシアス</v>
      </c>
      <c r="T194" s="584"/>
      <c r="U194" s="584"/>
      <c r="V194" s="584"/>
      <c r="W194" s="584"/>
      <c r="X194" s="584"/>
      <c r="Y194" s="584"/>
      <c r="Z194" s="584"/>
      <c r="AA194" s="584"/>
      <c r="AB194" s="584"/>
      <c r="AC194" s="92"/>
      <c r="AD194" s="93"/>
      <c r="AE194" s="636">
        <v>9</v>
      </c>
      <c r="AF194" s="636"/>
      <c r="AG194" s="709" t="str">
        <f>VLOOKUP(AE194,U12組合せ!B$10:'U12組合せ'!K$19,5,TRUE)</f>
        <v>サウス宇都宮SC</v>
      </c>
      <c r="AH194" s="709"/>
      <c r="AI194" s="709"/>
      <c r="AJ194" s="709"/>
      <c r="AK194" s="709"/>
      <c r="AL194" s="709"/>
      <c r="AM194" s="709"/>
      <c r="AN194" s="709"/>
      <c r="AO194" s="709"/>
      <c r="AP194" s="709"/>
      <c r="AR194" s="96">
        <f>AR192-AR193</f>
        <v>43</v>
      </c>
    </row>
    <row r="195" spans="2:45" ht="27" customHeight="1" x14ac:dyDescent="0.4">
      <c r="B195" s="102"/>
      <c r="O195" s="102"/>
      <c r="P195" s="102"/>
      <c r="AC195" s="95"/>
      <c r="AD195" s="102"/>
      <c r="AE195" s="102"/>
      <c r="AF195" s="102"/>
      <c r="AG195" s="102"/>
    </row>
    <row r="196" spans="2:45" ht="27" customHeight="1" x14ac:dyDescent="0.4">
      <c r="B196" s="118" t="str">
        <f ca="1">IF(B198="①","【監督会議 8：20～】","【監督会議 12：50～】")</f>
        <v>【監督会議 8：20～】</v>
      </c>
      <c r="I196" s="96" t="s">
        <v>330</v>
      </c>
    </row>
    <row r="197" spans="2:45" ht="27" customHeight="1" x14ac:dyDescent="0.4">
      <c r="B197" s="97"/>
      <c r="C197" s="711" t="s">
        <v>3</v>
      </c>
      <c r="D197" s="711"/>
      <c r="E197" s="711"/>
      <c r="F197" s="712" t="s">
        <v>4</v>
      </c>
      <c r="G197" s="712"/>
      <c r="H197" s="712"/>
      <c r="I197" s="712"/>
      <c r="J197" s="711" t="s">
        <v>5</v>
      </c>
      <c r="K197" s="713"/>
      <c r="L197" s="713"/>
      <c r="M197" s="713"/>
      <c r="N197" s="713"/>
      <c r="O197" s="713"/>
      <c r="P197" s="713"/>
      <c r="Q197" s="711" t="s">
        <v>32</v>
      </c>
      <c r="R197" s="711"/>
      <c r="S197" s="711"/>
      <c r="T197" s="711"/>
      <c r="U197" s="711"/>
      <c r="V197" s="711"/>
      <c r="W197" s="711"/>
      <c r="X197" s="711" t="s">
        <v>5</v>
      </c>
      <c r="Y197" s="713"/>
      <c r="Z197" s="713"/>
      <c r="AA197" s="713"/>
      <c r="AB197" s="713"/>
      <c r="AC197" s="713"/>
      <c r="AD197" s="713"/>
      <c r="AE197" s="712" t="s">
        <v>4</v>
      </c>
      <c r="AF197" s="712"/>
      <c r="AG197" s="712"/>
      <c r="AH197" s="712"/>
      <c r="AI197" s="711" t="s">
        <v>6</v>
      </c>
      <c r="AJ197" s="711"/>
      <c r="AK197" s="713"/>
      <c r="AL197" s="713"/>
      <c r="AM197" s="713"/>
      <c r="AN197" s="713"/>
      <c r="AO197" s="713"/>
      <c r="AP197" s="713"/>
    </row>
    <row r="198" spans="2:45" ht="27" customHeight="1" x14ac:dyDescent="0.4">
      <c r="B198" s="644" t="str">
        <f ca="1">DBCS(INDIRECT("U12対戦スケジュール!ｇ"&amp;(ROW())/2-AR$194))</f>
        <v>①</v>
      </c>
      <c r="C198" s="645">
        <f ca="1">INDIRECT("U12対戦スケジュール!ｈ"&amp;(ROW())/2-AR$194)</f>
        <v>0.375</v>
      </c>
      <c r="D198" s="646"/>
      <c r="E198" s="647"/>
      <c r="F198" s="622"/>
      <c r="G198" s="623"/>
      <c r="H198" s="623"/>
      <c r="I198" s="624"/>
      <c r="J198" s="746" t="str">
        <f ca="1">VLOOKUP(AR198,U12組合せ!B$10:K$19,5,TRUE)</f>
        <v>スポルト宇都宮U12</v>
      </c>
      <c r="K198" s="747"/>
      <c r="L198" s="747"/>
      <c r="M198" s="747"/>
      <c r="N198" s="747"/>
      <c r="O198" s="747"/>
      <c r="P198" s="747"/>
      <c r="Q198" s="628">
        <f>IF(OR(S198="",S199=""),"",S198+S199)</f>
        <v>2</v>
      </c>
      <c r="R198" s="630"/>
      <c r="S198" s="100">
        <v>2</v>
      </c>
      <c r="T198" s="101" t="s">
        <v>7</v>
      </c>
      <c r="U198" s="100">
        <v>1</v>
      </c>
      <c r="V198" s="628">
        <f>IF(OR(U198="",U199=""),"",U198+U199)</f>
        <v>2</v>
      </c>
      <c r="W198" s="630"/>
      <c r="X198" s="746" t="str">
        <f ca="1">VLOOKUP(AS198,U12組合せ!B$10:K$19,5,TRUE)</f>
        <v>岡西FC</v>
      </c>
      <c r="Y198" s="747"/>
      <c r="Z198" s="747"/>
      <c r="AA198" s="747"/>
      <c r="AB198" s="747"/>
      <c r="AC198" s="747"/>
      <c r="AD198" s="747"/>
      <c r="AE198" s="622"/>
      <c r="AF198" s="623"/>
      <c r="AG198" s="623"/>
      <c r="AH198" s="624"/>
      <c r="AI198" s="758" t="str">
        <f ca="1">DBCS(INDIRECT("U12対戦スケジュール!L"&amp;(ROW())/2-AR$194))</f>
        <v>９／１／５／９</v>
      </c>
      <c r="AJ198" s="759"/>
      <c r="AK198" s="759"/>
      <c r="AL198" s="759"/>
      <c r="AM198" s="759"/>
      <c r="AN198" s="759"/>
      <c r="AO198" s="759"/>
      <c r="AP198" s="760"/>
      <c r="AR198" s="119">
        <f ca="1">INDIRECT("U12対戦スケジュール!I"&amp;(ROW())/2-AR$194)</f>
        <v>1</v>
      </c>
      <c r="AS198" s="119">
        <f ca="1">INDIRECT("U12対戦スケジュール!K"&amp;(ROW())/2-AR$194)</f>
        <v>5</v>
      </c>
    </row>
    <row r="199" spans="2:45" ht="27" customHeight="1" x14ac:dyDescent="0.4">
      <c r="B199" s="644"/>
      <c r="C199" s="648"/>
      <c r="D199" s="649"/>
      <c r="E199" s="650"/>
      <c r="F199" s="625"/>
      <c r="G199" s="626"/>
      <c r="H199" s="626"/>
      <c r="I199" s="627"/>
      <c r="J199" s="747"/>
      <c r="K199" s="747"/>
      <c r="L199" s="747"/>
      <c r="M199" s="747"/>
      <c r="N199" s="747"/>
      <c r="O199" s="747"/>
      <c r="P199" s="747"/>
      <c r="Q199" s="631"/>
      <c r="R199" s="633"/>
      <c r="S199" s="100">
        <v>0</v>
      </c>
      <c r="T199" s="101" t="s">
        <v>7</v>
      </c>
      <c r="U199" s="100">
        <v>1</v>
      </c>
      <c r="V199" s="631"/>
      <c r="W199" s="633"/>
      <c r="X199" s="747"/>
      <c r="Y199" s="747"/>
      <c r="Z199" s="747"/>
      <c r="AA199" s="747"/>
      <c r="AB199" s="747"/>
      <c r="AC199" s="747"/>
      <c r="AD199" s="747"/>
      <c r="AE199" s="625"/>
      <c r="AF199" s="626"/>
      <c r="AG199" s="626"/>
      <c r="AH199" s="627"/>
      <c r="AI199" s="761"/>
      <c r="AJ199" s="762"/>
      <c r="AK199" s="762"/>
      <c r="AL199" s="762"/>
      <c r="AM199" s="762"/>
      <c r="AN199" s="762"/>
      <c r="AO199" s="762"/>
      <c r="AP199" s="763"/>
      <c r="AR199" s="119"/>
      <c r="AS199" s="119"/>
    </row>
    <row r="200" spans="2:45" ht="27" customHeight="1" x14ac:dyDescent="0.4">
      <c r="B200" s="644" t="str">
        <f ca="1">DBCS(INDIRECT("U12対戦スケジュール!ｇ"&amp;(ROW())/2-AR$194))</f>
        <v>②</v>
      </c>
      <c r="C200" s="645">
        <f ca="1">INDIRECT("U12対戦スケジュール!ｈ"&amp;(ROW())/2-AR$194)</f>
        <v>0.41699999999999998</v>
      </c>
      <c r="D200" s="646"/>
      <c r="E200" s="647"/>
      <c r="F200" s="583"/>
      <c r="G200" s="583"/>
      <c r="H200" s="583"/>
      <c r="I200" s="583"/>
      <c r="J200" s="746" t="str">
        <f ca="1">VLOOKUP(AR200,U12組合せ!B$10:K$19,5,TRUE)</f>
        <v>サウス宇都宮SC</v>
      </c>
      <c r="K200" s="747"/>
      <c r="L200" s="747"/>
      <c r="M200" s="747"/>
      <c r="N200" s="747"/>
      <c r="O200" s="747"/>
      <c r="P200" s="747"/>
      <c r="Q200" s="635">
        <f>IF(OR(S200="",S201=""),"",S200+S201)</f>
        <v>2</v>
      </c>
      <c r="R200" s="635"/>
      <c r="S200" s="98">
        <v>1</v>
      </c>
      <c r="T200" s="99" t="s">
        <v>7</v>
      </c>
      <c r="U200" s="98">
        <v>1</v>
      </c>
      <c r="V200" s="635">
        <f>IF(OR(U200="",U201=""),"",U200+U201)</f>
        <v>2</v>
      </c>
      <c r="W200" s="635"/>
      <c r="X200" s="746" t="str">
        <f ca="1">VLOOKUP(AS200,U12組合せ!B$10:K$19,5,TRUE)</f>
        <v>岡西FC</v>
      </c>
      <c r="Y200" s="747"/>
      <c r="Z200" s="747"/>
      <c r="AA200" s="747"/>
      <c r="AB200" s="747"/>
      <c r="AC200" s="747"/>
      <c r="AD200" s="747"/>
      <c r="AE200" s="583"/>
      <c r="AF200" s="583"/>
      <c r="AG200" s="583"/>
      <c r="AH200" s="583"/>
      <c r="AI200" s="758" t="str">
        <f ca="1">DBCS(INDIRECT("U12対戦スケジュール!L"&amp;(ROW())/2-AR$194))</f>
        <v>１／５／９／１</v>
      </c>
      <c r="AJ200" s="759"/>
      <c r="AK200" s="759"/>
      <c r="AL200" s="759"/>
      <c r="AM200" s="759"/>
      <c r="AN200" s="759"/>
      <c r="AO200" s="759"/>
      <c r="AP200" s="760"/>
      <c r="AR200" s="119">
        <f ca="1">INDIRECT("U12対戦スケジュール!I"&amp;(ROW())/2-AR$194)</f>
        <v>9</v>
      </c>
      <c r="AS200" s="119">
        <f ca="1">INDIRECT("U12対戦スケジュール!K"&amp;(ROW())/2-AR$194)</f>
        <v>5</v>
      </c>
    </row>
    <row r="201" spans="2:45" ht="27" customHeight="1" x14ac:dyDescent="0.4">
      <c r="B201" s="644"/>
      <c r="C201" s="648"/>
      <c r="D201" s="649"/>
      <c r="E201" s="650"/>
      <c r="F201" s="583"/>
      <c r="G201" s="583"/>
      <c r="H201" s="583"/>
      <c r="I201" s="583"/>
      <c r="J201" s="747"/>
      <c r="K201" s="747"/>
      <c r="L201" s="747"/>
      <c r="M201" s="747"/>
      <c r="N201" s="747"/>
      <c r="O201" s="747"/>
      <c r="P201" s="747"/>
      <c r="Q201" s="635"/>
      <c r="R201" s="635"/>
      <c r="S201" s="98">
        <v>1</v>
      </c>
      <c r="T201" s="99" t="s">
        <v>7</v>
      </c>
      <c r="U201" s="98">
        <v>1</v>
      </c>
      <c r="V201" s="635"/>
      <c r="W201" s="635"/>
      <c r="X201" s="747"/>
      <c r="Y201" s="747"/>
      <c r="Z201" s="747"/>
      <c r="AA201" s="747"/>
      <c r="AB201" s="747"/>
      <c r="AC201" s="747"/>
      <c r="AD201" s="747"/>
      <c r="AE201" s="583"/>
      <c r="AF201" s="583"/>
      <c r="AG201" s="583"/>
      <c r="AH201" s="583"/>
      <c r="AI201" s="761"/>
      <c r="AJ201" s="762"/>
      <c r="AK201" s="762"/>
      <c r="AL201" s="762"/>
      <c r="AM201" s="762"/>
      <c r="AN201" s="762"/>
      <c r="AO201" s="762"/>
      <c r="AP201" s="763"/>
      <c r="AR201" s="119"/>
      <c r="AS201" s="119"/>
    </row>
    <row r="202" spans="2:45" ht="27" customHeight="1" x14ac:dyDescent="0.4">
      <c r="B202" s="644" t="str">
        <f ca="1">DBCS(INDIRECT("U12対戦スケジュール!ｇ"&amp;(ROW())/2-AR$194))</f>
        <v>③</v>
      </c>
      <c r="C202" s="645">
        <f ca="1">INDIRECT("U12対戦スケジュール!ｈ"&amp;(ROW())/2-AR$194)</f>
        <v>0.45899999999999996</v>
      </c>
      <c r="D202" s="646"/>
      <c r="E202" s="647"/>
      <c r="F202" s="583"/>
      <c r="G202" s="583"/>
      <c r="H202" s="583"/>
      <c r="I202" s="583"/>
      <c r="J202" s="746" t="str">
        <f ca="1">VLOOKUP(AR202,U12組合せ!B$10:K$19,5,TRUE)</f>
        <v>サウス宇都宮SC</v>
      </c>
      <c r="K202" s="747"/>
      <c r="L202" s="747"/>
      <c r="M202" s="747"/>
      <c r="N202" s="747"/>
      <c r="O202" s="747"/>
      <c r="P202" s="747"/>
      <c r="Q202" s="635">
        <f>IF(OR(S202="",S203=""),"",S202+S203)</f>
        <v>0</v>
      </c>
      <c r="R202" s="635"/>
      <c r="S202" s="98">
        <v>0</v>
      </c>
      <c r="T202" s="99" t="s">
        <v>7</v>
      </c>
      <c r="U202" s="98">
        <v>0</v>
      </c>
      <c r="V202" s="635">
        <f>IF(OR(U202="",U203=""),"",U202+U203)</f>
        <v>0</v>
      </c>
      <c r="W202" s="635"/>
      <c r="X202" s="746" t="str">
        <f ca="1">VLOOKUP(AS202,U12組合せ!B$10:K$19,5,TRUE)</f>
        <v>スポルト宇都宮U12</v>
      </c>
      <c r="Y202" s="747"/>
      <c r="Z202" s="747"/>
      <c r="AA202" s="747"/>
      <c r="AB202" s="747"/>
      <c r="AC202" s="747"/>
      <c r="AD202" s="747"/>
      <c r="AE202" s="583"/>
      <c r="AF202" s="583"/>
      <c r="AG202" s="583"/>
      <c r="AH202" s="583"/>
      <c r="AI202" s="758" t="str">
        <f ca="1">DBCS(INDIRECT("U12対戦スケジュール!L"&amp;(ROW())/2-AR$194))</f>
        <v>５／９／１／５</v>
      </c>
      <c r="AJ202" s="759"/>
      <c r="AK202" s="759"/>
      <c r="AL202" s="759"/>
      <c r="AM202" s="759"/>
      <c r="AN202" s="759"/>
      <c r="AO202" s="759"/>
      <c r="AP202" s="760"/>
      <c r="AR202" s="119">
        <f ca="1">INDIRECT("U12対戦スケジュール!I"&amp;(ROW())/2-AR$194)</f>
        <v>9</v>
      </c>
      <c r="AS202" s="119">
        <f ca="1">INDIRECT("U12対戦スケジュール!K"&amp;(ROW())/2-AR$194)</f>
        <v>1</v>
      </c>
    </row>
    <row r="203" spans="2:45" ht="27" customHeight="1" x14ac:dyDescent="0.4">
      <c r="B203" s="644"/>
      <c r="C203" s="648"/>
      <c r="D203" s="649"/>
      <c r="E203" s="650"/>
      <c r="F203" s="583"/>
      <c r="G203" s="583"/>
      <c r="H203" s="583"/>
      <c r="I203" s="583"/>
      <c r="J203" s="747"/>
      <c r="K203" s="747"/>
      <c r="L203" s="747"/>
      <c r="M203" s="747"/>
      <c r="N203" s="747"/>
      <c r="O203" s="747"/>
      <c r="P203" s="747"/>
      <c r="Q203" s="635"/>
      <c r="R203" s="635"/>
      <c r="S203" s="98">
        <v>0</v>
      </c>
      <c r="T203" s="99" t="s">
        <v>7</v>
      </c>
      <c r="U203" s="98">
        <v>0</v>
      </c>
      <c r="V203" s="635"/>
      <c r="W203" s="635"/>
      <c r="X203" s="747"/>
      <c r="Y203" s="747"/>
      <c r="Z203" s="747"/>
      <c r="AA203" s="747"/>
      <c r="AB203" s="747"/>
      <c r="AC203" s="747"/>
      <c r="AD203" s="747"/>
      <c r="AE203" s="583"/>
      <c r="AF203" s="583"/>
      <c r="AG203" s="583"/>
      <c r="AH203" s="583"/>
      <c r="AI203" s="761"/>
      <c r="AJ203" s="762"/>
      <c r="AK203" s="762"/>
      <c r="AL203" s="762"/>
      <c r="AM203" s="762"/>
      <c r="AN203" s="762"/>
      <c r="AO203" s="762"/>
      <c r="AP203" s="763"/>
      <c r="AR203" s="119"/>
      <c r="AS203" s="119"/>
    </row>
    <row r="204" spans="2:45" ht="27" customHeight="1" x14ac:dyDescent="0.4">
      <c r="B204" s="644"/>
      <c r="C204" s="645"/>
      <c r="D204" s="646"/>
      <c r="E204" s="647"/>
      <c r="F204" s="583"/>
      <c r="G204" s="583"/>
      <c r="H204" s="583"/>
      <c r="I204" s="583"/>
      <c r="J204" s="720"/>
      <c r="K204" s="703"/>
      <c r="L204" s="703"/>
      <c r="M204" s="703"/>
      <c r="N204" s="703"/>
      <c r="O204" s="703"/>
      <c r="P204" s="703"/>
      <c r="Q204" s="634"/>
      <c r="R204" s="634"/>
      <c r="S204" s="100"/>
      <c r="T204" s="101"/>
      <c r="U204" s="100"/>
      <c r="V204" s="634"/>
      <c r="W204" s="634"/>
      <c r="X204" s="720"/>
      <c r="Y204" s="703"/>
      <c r="Z204" s="703"/>
      <c r="AA204" s="703"/>
      <c r="AB204" s="703"/>
      <c r="AC204" s="703"/>
      <c r="AD204" s="703"/>
      <c r="AE204" s="583"/>
      <c r="AF204" s="583"/>
      <c r="AG204" s="583"/>
      <c r="AH204" s="583"/>
      <c r="AI204" s="634"/>
      <c r="AJ204" s="583"/>
      <c r="AK204" s="583"/>
      <c r="AL204" s="583"/>
      <c r="AM204" s="583"/>
      <c r="AN204" s="583"/>
      <c r="AO204" s="583"/>
      <c r="AP204" s="583"/>
      <c r="AR204" s="119"/>
      <c r="AS204" s="119"/>
    </row>
    <row r="205" spans="2:45" ht="27" customHeight="1" x14ac:dyDescent="0.4">
      <c r="B205" s="644"/>
      <c r="C205" s="648"/>
      <c r="D205" s="649"/>
      <c r="E205" s="650"/>
      <c r="F205" s="583"/>
      <c r="G205" s="583"/>
      <c r="H205" s="583"/>
      <c r="I205" s="583"/>
      <c r="J205" s="703"/>
      <c r="K205" s="703"/>
      <c r="L205" s="703"/>
      <c r="M205" s="703"/>
      <c r="N205" s="703"/>
      <c r="O205" s="703"/>
      <c r="P205" s="703"/>
      <c r="Q205" s="634"/>
      <c r="R205" s="634"/>
      <c r="S205" s="100"/>
      <c r="T205" s="101"/>
      <c r="U205" s="100"/>
      <c r="V205" s="634"/>
      <c r="W205" s="634"/>
      <c r="X205" s="703"/>
      <c r="Y205" s="703"/>
      <c r="Z205" s="703"/>
      <c r="AA205" s="703"/>
      <c r="AB205" s="703"/>
      <c r="AC205" s="703"/>
      <c r="AD205" s="703"/>
      <c r="AE205" s="583"/>
      <c r="AF205" s="583"/>
      <c r="AG205" s="583"/>
      <c r="AH205" s="583"/>
      <c r="AI205" s="583"/>
      <c r="AJ205" s="583"/>
      <c r="AK205" s="583"/>
      <c r="AL205" s="583"/>
      <c r="AM205" s="583"/>
      <c r="AN205" s="583"/>
      <c r="AO205" s="583"/>
      <c r="AP205" s="583"/>
      <c r="AR205" s="119"/>
      <c r="AS205" s="119"/>
    </row>
    <row r="206" spans="2:45" ht="27" customHeight="1" x14ac:dyDescent="0.4">
      <c r="B206" s="644"/>
      <c r="C206" s="723"/>
      <c r="D206" s="723"/>
      <c r="E206" s="723"/>
      <c r="F206" s="583"/>
      <c r="G206" s="583"/>
      <c r="H206" s="583"/>
      <c r="I206" s="583"/>
      <c r="J206" s="721"/>
      <c r="K206" s="722"/>
      <c r="L206" s="722"/>
      <c r="M206" s="722"/>
      <c r="N206" s="722"/>
      <c r="O206" s="722"/>
      <c r="P206" s="722"/>
      <c r="Q206" s="634"/>
      <c r="R206" s="634"/>
      <c r="S206" s="100"/>
      <c r="T206" s="101"/>
      <c r="U206" s="100"/>
      <c r="V206" s="634"/>
      <c r="W206" s="634"/>
      <c r="X206" s="721"/>
      <c r="Y206" s="722"/>
      <c r="Z206" s="722"/>
      <c r="AA206" s="722"/>
      <c r="AB206" s="722"/>
      <c r="AC206" s="722"/>
      <c r="AD206" s="722"/>
      <c r="AE206" s="583"/>
      <c r="AF206" s="583"/>
      <c r="AG206" s="583"/>
      <c r="AH206" s="583"/>
      <c r="AI206" s="634"/>
      <c r="AJ206" s="583"/>
      <c r="AK206" s="583"/>
      <c r="AL206" s="583"/>
      <c r="AM206" s="583"/>
      <c r="AN206" s="583"/>
      <c r="AO206" s="583"/>
      <c r="AP206" s="583"/>
      <c r="AR206" s="119"/>
      <c r="AS206" s="119"/>
    </row>
    <row r="207" spans="2:45" ht="27" customHeight="1" x14ac:dyDescent="0.4">
      <c r="B207" s="644"/>
      <c r="C207" s="723"/>
      <c r="D207" s="723"/>
      <c r="E207" s="723"/>
      <c r="F207" s="583"/>
      <c r="G207" s="583"/>
      <c r="H207" s="583"/>
      <c r="I207" s="583"/>
      <c r="J207" s="722"/>
      <c r="K207" s="722"/>
      <c r="L207" s="722"/>
      <c r="M207" s="722"/>
      <c r="N207" s="722"/>
      <c r="O207" s="722"/>
      <c r="P207" s="722"/>
      <c r="Q207" s="634"/>
      <c r="R207" s="634"/>
      <c r="S207" s="100"/>
      <c r="T207" s="101"/>
      <c r="U207" s="100"/>
      <c r="V207" s="634"/>
      <c r="W207" s="634"/>
      <c r="X207" s="722"/>
      <c r="Y207" s="722"/>
      <c r="Z207" s="722"/>
      <c r="AA207" s="722"/>
      <c r="AB207" s="722"/>
      <c r="AC207" s="722"/>
      <c r="AD207" s="722"/>
      <c r="AE207" s="583"/>
      <c r="AF207" s="583"/>
      <c r="AG207" s="583"/>
      <c r="AH207" s="583"/>
      <c r="AI207" s="583"/>
      <c r="AJ207" s="583"/>
      <c r="AK207" s="583"/>
      <c r="AL207" s="583"/>
      <c r="AM207" s="583"/>
      <c r="AN207" s="583"/>
      <c r="AO207" s="583"/>
      <c r="AP207" s="583"/>
      <c r="AR207" s="119"/>
      <c r="AS207" s="119"/>
    </row>
    <row r="208" spans="2:45" ht="27" customHeight="1" x14ac:dyDescent="0.4">
      <c r="B208" s="644"/>
      <c r="C208" s="723"/>
      <c r="D208" s="723"/>
      <c r="E208" s="723"/>
      <c r="F208" s="583"/>
      <c r="G208" s="583"/>
      <c r="H208" s="583"/>
      <c r="I208" s="583"/>
      <c r="J208" s="721"/>
      <c r="K208" s="722"/>
      <c r="L208" s="722"/>
      <c r="M208" s="722"/>
      <c r="N208" s="722"/>
      <c r="O208" s="722"/>
      <c r="P208" s="722"/>
      <c r="Q208" s="634"/>
      <c r="R208" s="634"/>
      <c r="S208" s="100"/>
      <c r="T208" s="101"/>
      <c r="U208" s="100"/>
      <c r="V208" s="634"/>
      <c r="W208" s="634"/>
      <c r="X208" s="721"/>
      <c r="Y208" s="722"/>
      <c r="Z208" s="722"/>
      <c r="AA208" s="722"/>
      <c r="AB208" s="722"/>
      <c r="AC208" s="722"/>
      <c r="AD208" s="722"/>
      <c r="AE208" s="583"/>
      <c r="AF208" s="583"/>
      <c r="AG208" s="583"/>
      <c r="AH208" s="583"/>
      <c r="AI208" s="634"/>
      <c r="AJ208" s="583"/>
      <c r="AK208" s="583"/>
      <c r="AL208" s="583"/>
      <c r="AM208" s="583"/>
      <c r="AN208" s="583"/>
      <c r="AO208" s="583"/>
      <c r="AP208" s="583"/>
      <c r="AR208" s="119"/>
      <c r="AS208" s="119"/>
    </row>
    <row r="209" spans="1:45" ht="27" customHeight="1" x14ac:dyDescent="0.4">
      <c r="B209" s="644"/>
      <c r="C209" s="723"/>
      <c r="D209" s="723"/>
      <c r="E209" s="723"/>
      <c r="F209" s="583"/>
      <c r="G209" s="583"/>
      <c r="H209" s="583"/>
      <c r="I209" s="583"/>
      <c r="J209" s="722"/>
      <c r="K209" s="722"/>
      <c r="L209" s="722"/>
      <c r="M209" s="722"/>
      <c r="N209" s="722"/>
      <c r="O209" s="722"/>
      <c r="P209" s="722"/>
      <c r="Q209" s="634"/>
      <c r="R209" s="634"/>
      <c r="S209" s="100"/>
      <c r="T209" s="101"/>
      <c r="U209" s="100"/>
      <c r="V209" s="634"/>
      <c r="W209" s="634"/>
      <c r="X209" s="722"/>
      <c r="Y209" s="722"/>
      <c r="Z209" s="722"/>
      <c r="AA209" s="722"/>
      <c r="AB209" s="722"/>
      <c r="AC209" s="722"/>
      <c r="AD209" s="722"/>
      <c r="AE209" s="583"/>
      <c r="AF209" s="583"/>
      <c r="AG209" s="583"/>
      <c r="AH209" s="583"/>
      <c r="AI209" s="583"/>
      <c r="AJ209" s="583"/>
      <c r="AK209" s="583"/>
      <c r="AL209" s="583"/>
      <c r="AM209" s="583"/>
      <c r="AN209" s="583"/>
      <c r="AO209" s="583"/>
      <c r="AP209" s="583"/>
      <c r="AR209" s="119"/>
      <c r="AS209" s="119"/>
    </row>
    <row r="210" spans="1:45" ht="27" customHeight="1" x14ac:dyDescent="0.4">
      <c r="B210" s="644"/>
      <c r="C210" s="723"/>
      <c r="D210" s="723"/>
      <c r="E210" s="723"/>
      <c r="F210" s="583"/>
      <c r="G210" s="583"/>
      <c r="H210" s="583"/>
      <c r="I210" s="583"/>
      <c r="J210" s="721"/>
      <c r="K210" s="722"/>
      <c r="L210" s="722"/>
      <c r="M210" s="722"/>
      <c r="N210" s="722"/>
      <c r="O210" s="722"/>
      <c r="P210" s="722"/>
      <c r="Q210" s="634"/>
      <c r="R210" s="634"/>
      <c r="S210" s="100"/>
      <c r="T210" s="101"/>
      <c r="U210" s="100"/>
      <c r="V210" s="634"/>
      <c r="W210" s="634"/>
      <c r="X210" s="721"/>
      <c r="Y210" s="722"/>
      <c r="Z210" s="722"/>
      <c r="AA210" s="722"/>
      <c r="AB210" s="722"/>
      <c r="AC210" s="722"/>
      <c r="AD210" s="722"/>
      <c r="AE210" s="583"/>
      <c r="AF210" s="583"/>
      <c r="AG210" s="583"/>
      <c r="AH210" s="583"/>
      <c r="AI210" s="634"/>
      <c r="AJ210" s="583"/>
      <c r="AK210" s="583"/>
      <c r="AL210" s="583"/>
      <c r="AM210" s="583"/>
      <c r="AN210" s="583"/>
      <c r="AO210" s="583"/>
      <c r="AP210" s="583"/>
      <c r="AR210" s="119"/>
      <c r="AS210" s="119"/>
    </row>
    <row r="211" spans="1:45" ht="27" customHeight="1" x14ac:dyDescent="0.4">
      <c r="B211" s="644"/>
      <c r="C211" s="723"/>
      <c r="D211" s="723"/>
      <c r="E211" s="723"/>
      <c r="F211" s="583"/>
      <c r="G211" s="583"/>
      <c r="H211" s="583"/>
      <c r="I211" s="583"/>
      <c r="J211" s="722"/>
      <c r="K211" s="722"/>
      <c r="L211" s="722"/>
      <c r="M211" s="722"/>
      <c r="N211" s="722"/>
      <c r="O211" s="722"/>
      <c r="P211" s="722"/>
      <c r="Q211" s="634"/>
      <c r="R211" s="634"/>
      <c r="S211" s="100"/>
      <c r="T211" s="101"/>
      <c r="U211" s="100"/>
      <c r="V211" s="634"/>
      <c r="W211" s="634"/>
      <c r="X211" s="722"/>
      <c r="Y211" s="722"/>
      <c r="Z211" s="722"/>
      <c r="AA211" s="722"/>
      <c r="AB211" s="722"/>
      <c r="AC211" s="722"/>
      <c r="AD211" s="722"/>
      <c r="AE211" s="583"/>
      <c r="AF211" s="583"/>
      <c r="AG211" s="583"/>
      <c r="AH211" s="583"/>
      <c r="AI211" s="583"/>
      <c r="AJ211" s="583"/>
      <c r="AK211" s="583"/>
      <c r="AL211" s="583"/>
      <c r="AM211" s="583"/>
      <c r="AN211" s="583"/>
      <c r="AO211" s="583"/>
      <c r="AP211" s="583"/>
    </row>
    <row r="212" spans="1:45" ht="27" customHeight="1" thickBot="1" x14ac:dyDescent="0.45">
      <c r="A212" s="102"/>
      <c r="B212" s="103"/>
      <c r="C212" s="104"/>
      <c r="D212" s="104"/>
      <c r="E212" s="104"/>
      <c r="F212" s="103"/>
      <c r="G212" s="103"/>
      <c r="H212" s="103"/>
      <c r="I212" s="103"/>
      <c r="J212" s="103"/>
      <c r="K212" s="105"/>
      <c r="L212" s="105"/>
      <c r="M212" s="106"/>
      <c r="N212" s="107"/>
      <c r="O212" s="106"/>
      <c r="P212" s="105"/>
      <c r="Q212" s="105"/>
      <c r="R212" s="103"/>
      <c r="S212" s="103"/>
      <c r="T212" s="103"/>
      <c r="U212" s="103"/>
      <c r="V212" s="103"/>
      <c r="W212" s="108"/>
      <c r="X212" s="108"/>
      <c r="Y212" s="108"/>
      <c r="Z212" s="108"/>
      <c r="AA212" s="108"/>
      <c r="AB212" s="108"/>
      <c r="AC212" s="102"/>
    </row>
    <row r="213" spans="1:45" ht="27" customHeight="1" thickBot="1" x14ac:dyDescent="0.45">
      <c r="D213" s="664" t="s">
        <v>8</v>
      </c>
      <c r="E213" s="665"/>
      <c r="F213" s="665"/>
      <c r="G213" s="665"/>
      <c r="H213" s="665"/>
      <c r="I213" s="666"/>
      <c r="J213" s="667" t="s">
        <v>5</v>
      </c>
      <c r="K213" s="665"/>
      <c r="L213" s="665"/>
      <c r="M213" s="665"/>
      <c r="N213" s="665"/>
      <c r="O213" s="665"/>
      <c r="P213" s="665"/>
      <c r="Q213" s="666"/>
      <c r="R213" s="668" t="s">
        <v>9</v>
      </c>
      <c r="S213" s="669"/>
      <c r="T213" s="669"/>
      <c r="U213" s="669"/>
      <c r="V213" s="669"/>
      <c r="W213" s="669"/>
      <c r="X213" s="669"/>
      <c r="Y213" s="669"/>
      <c r="Z213" s="670"/>
      <c r="AA213" s="609" t="s">
        <v>10</v>
      </c>
      <c r="AB213" s="610"/>
      <c r="AC213" s="671"/>
      <c r="AD213" s="609" t="s">
        <v>11</v>
      </c>
      <c r="AE213" s="610"/>
      <c r="AF213" s="610"/>
      <c r="AG213" s="610"/>
      <c r="AH213" s="610"/>
      <c r="AI213" s="610"/>
      <c r="AJ213" s="610"/>
      <c r="AK213" s="610"/>
      <c r="AL213" s="610"/>
      <c r="AM213" s="611"/>
    </row>
    <row r="214" spans="1:45" ht="27" customHeight="1" x14ac:dyDescent="0.4">
      <c r="D214" s="651" t="s">
        <v>298</v>
      </c>
      <c r="E214" s="652"/>
      <c r="F214" s="652"/>
      <c r="G214" s="652"/>
      <c r="H214" s="652"/>
      <c r="I214" s="653"/>
      <c r="J214" s="654" t="s">
        <v>618</v>
      </c>
      <c r="K214" s="652"/>
      <c r="L214" s="652"/>
      <c r="M214" s="652"/>
      <c r="N214" s="652"/>
      <c r="O214" s="652"/>
      <c r="P214" s="652"/>
      <c r="Q214" s="653"/>
      <c r="R214" s="655" t="s">
        <v>619</v>
      </c>
      <c r="S214" s="656"/>
      <c r="T214" s="656"/>
      <c r="U214" s="656"/>
      <c r="V214" s="656"/>
      <c r="W214" s="656"/>
      <c r="X214" s="656"/>
      <c r="Y214" s="656"/>
      <c r="Z214" s="657"/>
      <c r="AA214" s="658">
        <v>20</v>
      </c>
      <c r="AB214" s="659"/>
      <c r="AC214" s="660"/>
      <c r="AD214" s="776" t="s">
        <v>620</v>
      </c>
      <c r="AE214" s="777"/>
      <c r="AF214" s="777"/>
      <c r="AG214" s="777"/>
      <c r="AH214" s="777"/>
      <c r="AI214" s="777"/>
      <c r="AJ214" s="777"/>
      <c r="AK214" s="777"/>
      <c r="AL214" s="777"/>
      <c r="AM214" s="778"/>
    </row>
    <row r="215" spans="1:45" ht="27" customHeight="1" x14ac:dyDescent="0.4">
      <c r="D215" s="688" t="s">
        <v>12</v>
      </c>
      <c r="E215" s="604"/>
      <c r="F215" s="604"/>
      <c r="G215" s="604"/>
      <c r="H215" s="604"/>
      <c r="I215" s="605"/>
      <c r="J215" s="603"/>
      <c r="K215" s="604"/>
      <c r="L215" s="604"/>
      <c r="M215" s="604"/>
      <c r="N215" s="604"/>
      <c r="O215" s="604"/>
      <c r="P215" s="604"/>
      <c r="Q215" s="605"/>
      <c r="R215" s="606"/>
      <c r="S215" s="607"/>
      <c r="T215" s="607"/>
      <c r="U215" s="607"/>
      <c r="V215" s="607"/>
      <c r="W215" s="607"/>
      <c r="X215" s="607"/>
      <c r="Y215" s="607"/>
      <c r="Z215" s="608"/>
      <c r="AA215" s="606"/>
      <c r="AB215" s="607"/>
      <c r="AC215" s="608"/>
      <c r="AD215" s="672"/>
      <c r="AE215" s="673"/>
      <c r="AF215" s="673"/>
      <c r="AG215" s="673"/>
      <c r="AH215" s="673"/>
      <c r="AI215" s="673"/>
      <c r="AJ215" s="673"/>
      <c r="AK215" s="673"/>
      <c r="AL215" s="673"/>
      <c r="AM215" s="674"/>
    </row>
    <row r="216" spans="1:45" ht="27" customHeight="1" thickBot="1" x14ac:dyDescent="0.45">
      <c r="D216" s="675" t="s">
        <v>12</v>
      </c>
      <c r="E216" s="676"/>
      <c r="F216" s="676"/>
      <c r="G216" s="676"/>
      <c r="H216" s="676"/>
      <c r="I216" s="677"/>
      <c r="J216" s="678"/>
      <c r="K216" s="676"/>
      <c r="L216" s="676"/>
      <c r="M216" s="676"/>
      <c r="N216" s="676"/>
      <c r="O216" s="676"/>
      <c r="P216" s="676"/>
      <c r="Q216" s="677"/>
      <c r="R216" s="679"/>
      <c r="S216" s="680"/>
      <c r="T216" s="680"/>
      <c r="U216" s="680"/>
      <c r="V216" s="680"/>
      <c r="W216" s="680"/>
      <c r="X216" s="680"/>
      <c r="Y216" s="680"/>
      <c r="Z216" s="681"/>
      <c r="AA216" s="682"/>
      <c r="AB216" s="683"/>
      <c r="AC216" s="684"/>
      <c r="AD216" s="685"/>
      <c r="AE216" s="686"/>
      <c r="AF216" s="686"/>
      <c r="AG216" s="686"/>
      <c r="AH216" s="686"/>
      <c r="AI216" s="686"/>
      <c r="AJ216" s="686"/>
      <c r="AK216" s="686"/>
      <c r="AL216" s="686"/>
      <c r="AM216" s="687"/>
    </row>
    <row r="217" spans="1:45" ht="27" customHeight="1" x14ac:dyDescent="0.4"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7"/>
      <c r="AB217" s="107"/>
      <c r="AC217" s="107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</row>
    <row r="218" spans="1:45" ht="27" customHeight="1" x14ac:dyDescent="0.4">
      <c r="A218" s="115"/>
      <c r="B218" s="599" t="str">
        <f>U12組合せ!$B$1</f>
        <v>ＪＦＡ　Ｕ-１２サッカーリーグ2021（in栃木） 宇都宮地区リーグ戦（前期）</v>
      </c>
      <c r="C218" s="599"/>
      <c r="D218" s="599"/>
      <c r="E218" s="599"/>
      <c r="F218" s="599"/>
      <c r="G218" s="599"/>
      <c r="H218" s="599"/>
      <c r="I218" s="599"/>
      <c r="J218" s="599"/>
      <c r="K218" s="599"/>
      <c r="L218" s="599"/>
      <c r="M218" s="599"/>
      <c r="N218" s="599"/>
      <c r="O218" s="599"/>
      <c r="P218" s="599"/>
      <c r="Q218" s="599"/>
      <c r="R218" s="599"/>
      <c r="S218" s="599"/>
      <c r="T218" s="599"/>
      <c r="U218" s="599"/>
      <c r="V218" s="599"/>
      <c r="W218" s="599"/>
      <c r="X218" s="599"/>
      <c r="Y218" s="599"/>
      <c r="Z218" s="599"/>
      <c r="AA218" s="599"/>
      <c r="AB218" s="599"/>
      <c r="AC218" s="612" t="str">
        <f>"【"&amp;(U12組合せ!$F$3)&amp;"】"</f>
        <v>【Ｂ ブロック】</v>
      </c>
      <c r="AD218" s="612"/>
      <c r="AE218" s="612"/>
      <c r="AF218" s="612"/>
      <c r="AG218" s="612"/>
      <c r="AH218" s="612"/>
      <c r="AI218" s="612"/>
      <c r="AJ218" s="612"/>
      <c r="AK218" s="602" t="str">
        <f>"第"&amp;(U12組合せ!$D$33)</f>
        <v>第３節</v>
      </c>
      <c r="AL218" s="602"/>
      <c r="AM218" s="602"/>
      <c r="AN218" s="602"/>
      <c r="AO218" s="602"/>
      <c r="AP218" s="597" t="s">
        <v>300</v>
      </c>
      <c r="AQ218" s="598"/>
    </row>
    <row r="219" spans="1:45" ht="27" customHeight="1" x14ac:dyDescent="0.4">
      <c r="A219" s="115"/>
      <c r="B219" s="599"/>
      <c r="C219" s="599"/>
      <c r="D219" s="599"/>
      <c r="E219" s="599"/>
      <c r="F219" s="599"/>
      <c r="G219" s="599"/>
      <c r="H219" s="599"/>
      <c r="I219" s="599"/>
      <c r="J219" s="599"/>
      <c r="K219" s="599"/>
      <c r="L219" s="599"/>
      <c r="M219" s="599"/>
      <c r="N219" s="599"/>
      <c r="O219" s="599"/>
      <c r="P219" s="599"/>
      <c r="Q219" s="599"/>
      <c r="R219" s="599"/>
      <c r="S219" s="599"/>
      <c r="T219" s="599"/>
      <c r="U219" s="599"/>
      <c r="V219" s="599"/>
      <c r="W219" s="599"/>
      <c r="X219" s="599"/>
      <c r="Y219" s="599"/>
      <c r="Z219" s="599"/>
      <c r="AA219" s="599"/>
      <c r="AB219" s="599"/>
      <c r="AC219" s="601"/>
      <c r="AD219" s="601"/>
      <c r="AE219" s="601"/>
      <c r="AF219" s="601"/>
      <c r="AG219" s="601"/>
      <c r="AH219" s="601"/>
      <c r="AI219" s="601"/>
      <c r="AJ219" s="601"/>
      <c r="AK219" s="601"/>
      <c r="AL219" s="601"/>
      <c r="AM219" s="601"/>
      <c r="AN219" s="601"/>
      <c r="AO219" s="612"/>
      <c r="AP219" s="598"/>
      <c r="AQ219" s="598"/>
      <c r="AR219" s="115"/>
      <c r="AS219" s="115"/>
    </row>
    <row r="220" spans="1:45" ht="27" customHeight="1" x14ac:dyDescent="0.4">
      <c r="C220" s="635" t="s">
        <v>1</v>
      </c>
      <c r="D220" s="635"/>
      <c r="E220" s="635"/>
      <c r="F220" s="635"/>
      <c r="G220" s="725" t="str">
        <f>U12対戦スケジュール!I64</f>
        <v>上三川小 AM</v>
      </c>
      <c r="H220" s="726"/>
      <c r="I220" s="726"/>
      <c r="J220" s="726"/>
      <c r="K220" s="726"/>
      <c r="L220" s="726"/>
      <c r="M220" s="726"/>
      <c r="N220" s="726"/>
      <c r="O220" s="727"/>
      <c r="P220" s="635" t="s">
        <v>0</v>
      </c>
      <c r="Q220" s="635"/>
      <c r="R220" s="635"/>
      <c r="S220" s="635"/>
      <c r="T220" s="636" t="str">
        <f>AG222</f>
        <v>上三川SC</v>
      </c>
      <c r="U220" s="636"/>
      <c r="V220" s="636"/>
      <c r="W220" s="636"/>
      <c r="X220" s="636"/>
      <c r="Y220" s="636"/>
      <c r="Z220" s="636"/>
      <c r="AA220" s="636"/>
      <c r="AB220" s="636"/>
      <c r="AC220" s="635" t="s">
        <v>2</v>
      </c>
      <c r="AD220" s="635"/>
      <c r="AE220" s="635"/>
      <c r="AF220" s="635"/>
      <c r="AG220" s="618">
        <f>U12組合せ!B$33</f>
        <v>44325</v>
      </c>
      <c r="AH220" s="619"/>
      <c r="AI220" s="619"/>
      <c r="AJ220" s="619"/>
      <c r="AK220" s="619"/>
      <c r="AL220" s="619"/>
      <c r="AM220" s="620" t="str">
        <f>"（"&amp;TEXT(AG220,"aaa")&amp;"）"</f>
        <v>（日）</v>
      </c>
      <c r="AN220" s="620"/>
      <c r="AO220" s="621"/>
      <c r="AP220" s="116"/>
    </row>
    <row r="221" spans="1:45" ht="27" customHeight="1" x14ac:dyDescent="0.4">
      <c r="C221" s="96" t="str">
        <f>U12組合せ!G36</f>
        <v>B267</v>
      </c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95"/>
      <c r="X221" s="95"/>
      <c r="Y221" s="95"/>
      <c r="Z221" s="95"/>
      <c r="AA221" s="95"/>
      <c r="AB221" s="95"/>
      <c r="AC221" s="95"/>
    </row>
    <row r="222" spans="1:45" ht="27" customHeight="1" x14ac:dyDescent="0.4">
      <c r="C222" s="637">
        <v>1</v>
      </c>
      <c r="D222" s="637"/>
      <c r="E222" s="584" t="str">
        <f>VLOOKUP(C222,U12組合せ!B$10:K$19,5,TRUE)</f>
        <v>スポルト宇都宮U12</v>
      </c>
      <c r="F222" s="584"/>
      <c r="G222" s="584"/>
      <c r="H222" s="584"/>
      <c r="I222" s="584"/>
      <c r="J222" s="584"/>
      <c r="K222" s="584"/>
      <c r="L222" s="584"/>
      <c r="M222" s="584"/>
      <c r="N222" s="584"/>
      <c r="O222" s="94"/>
      <c r="P222" s="94"/>
      <c r="Q222" s="637">
        <v>4</v>
      </c>
      <c r="R222" s="637"/>
      <c r="S222" s="584" t="str">
        <f>VLOOKUP(Q222,U12組合せ!B$10:K$19,5,TRUE)</f>
        <v>昭和・戸祭SC</v>
      </c>
      <c r="T222" s="584"/>
      <c r="U222" s="584"/>
      <c r="V222" s="584"/>
      <c r="W222" s="584"/>
      <c r="X222" s="584"/>
      <c r="Y222" s="584"/>
      <c r="Z222" s="584"/>
      <c r="AA222" s="584"/>
      <c r="AB222" s="584"/>
      <c r="AC222" s="92"/>
      <c r="AD222" s="93"/>
      <c r="AE222" s="636">
        <v>7</v>
      </c>
      <c r="AF222" s="636"/>
      <c r="AG222" s="709" t="str">
        <f>VLOOKUP(AE222,U12組合せ!B$10:'U12組合せ'!K$19,5,TRUE)</f>
        <v>上三川SC</v>
      </c>
      <c r="AH222" s="709"/>
      <c r="AI222" s="709"/>
      <c r="AJ222" s="709"/>
      <c r="AK222" s="709"/>
      <c r="AL222" s="709"/>
      <c r="AM222" s="709"/>
      <c r="AN222" s="709"/>
      <c r="AO222" s="709"/>
      <c r="AP222" s="709"/>
      <c r="AR222" s="96">
        <f>228/2</f>
        <v>114</v>
      </c>
    </row>
    <row r="223" spans="1:45" ht="27" customHeight="1" x14ac:dyDescent="0.4">
      <c r="C223" s="636">
        <v>2</v>
      </c>
      <c r="D223" s="636"/>
      <c r="E223" s="709" t="str">
        <f>VLOOKUP(C223,U12組合せ!B$10:K$19,5,TRUE)</f>
        <v>ウエストフットコム</v>
      </c>
      <c r="F223" s="709"/>
      <c r="G223" s="709"/>
      <c r="H223" s="709"/>
      <c r="I223" s="709"/>
      <c r="J223" s="709"/>
      <c r="K223" s="709"/>
      <c r="L223" s="709"/>
      <c r="M223" s="709"/>
      <c r="N223" s="709"/>
      <c r="O223" s="94"/>
      <c r="P223" s="94"/>
      <c r="Q223" s="637">
        <v>5</v>
      </c>
      <c r="R223" s="637"/>
      <c r="S223" s="584" t="str">
        <f>VLOOKUP(Q223,U12組合せ!B$10:K$19,5,TRUE)</f>
        <v>岡西FC</v>
      </c>
      <c r="T223" s="584"/>
      <c r="U223" s="584"/>
      <c r="V223" s="584"/>
      <c r="W223" s="584"/>
      <c r="X223" s="584"/>
      <c r="Y223" s="584"/>
      <c r="Z223" s="584"/>
      <c r="AA223" s="584"/>
      <c r="AB223" s="584"/>
      <c r="AC223" s="92"/>
      <c r="AD223" s="93"/>
      <c r="AE223" s="637">
        <v>8</v>
      </c>
      <c r="AF223" s="637"/>
      <c r="AG223" s="584" t="str">
        <f>VLOOKUP(AE223,U12組合せ!B$10:'U12組合せ'!K$19,5,TRUE)</f>
        <v>宇都宮FCジュニア</v>
      </c>
      <c r="AH223" s="584"/>
      <c r="AI223" s="584"/>
      <c r="AJ223" s="584"/>
      <c r="AK223" s="584"/>
      <c r="AL223" s="584"/>
      <c r="AM223" s="584"/>
      <c r="AN223" s="584"/>
      <c r="AO223" s="584"/>
      <c r="AP223" s="584"/>
      <c r="AR223" s="96">
        <v>66</v>
      </c>
    </row>
    <row r="224" spans="1:45" ht="27" customHeight="1" x14ac:dyDescent="0.4">
      <c r="C224" s="637">
        <v>3</v>
      </c>
      <c r="D224" s="637"/>
      <c r="E224" s="584" t="str">
        <f>VLOOKUP(C224,U12組合せ!B$10:K$19,5,TRUE)</f>
        <v>緑ヶ丘ＹＦＣ</v>
      </c>
      <c r="F224" s="584"/>
      <c r="G224" s="584"/>
      <c r="H224" s="584"/>
      <c r="I224" s="584"/>
      <c r="J224" s="584"/>
      <c r="K224" s="584"/>
      <c r="L224" s="584"/>
      <c r="M224" s="584"/>
      <c r="N224" s="584"/>
      <c r="O224" s="94"/>
      <c r="P224" s="94"/>
      <c r="Q224" s="636">
        <v>6</v>
      </c>
      <c r="R224" s="636"/>
      <c r="S224" s="709" t="str">
        <f>VLOOKUP(Q224,U12組合せ!B$10:K$19,5,TRUE)</f>
        <v>FCグラシアス</v>
      </c>
      <c r="T224" s="709"/>
      <c r="U224" s="709"/>
      <c r="V224" s="709"/>
      <c r="W224" s="709"/>
      <c r="X224" s="709"/>
      <c r="Y224" s="709"/>
      <c r="Z224" s="709"/>
      <c r="AA224" s="709"/>
      <c r="AB224" s="709"/>
      <c r="AC224" s="92"/>
      <c r="AD224" s="93"/>
      <c r="AE224" s="637">
        <v>9</v>
      </c>
      <c r="AF224" s="637"/>
      <c r="AG224" s="584" t="str">
        <f>VLOOKUP(AE224,U12組合せ!B$10:'U12組合せ'!K$19,5,TRUE)</f>
        <v>サウス宇都宮SC</v>
      </c>
      <c r="AH224" s="584"/>
      <c r="AI224" s="584"/>
      <c r="AJ224" s="584"/>
      <c r="AK224" s="584"/>
      <c r="AL224" s="584"/>
      <c r="AM224" s="584"/>
      <c r="AN224" s="584"/>
      <c r="AO224" s="584"/>
      <c r="AP224" s="584"/>
      <c r="AR224" s="96">
        <f>AR222-AR223</f>
        <v>48</v>
      </c>
    </row>
    <row r="225" spans="2:45" ht="27" customHeight="1" x14ac:dyDescent="0.4">
      <c r="B225" s="102"/>
      <c r="O225" s="102"/>
      <c r="P225" s="102"/>
      <c r="AC225" s="95"/>
      <c r="AD225" s="102"/>
      <c r="AE225" s="102"/>
      <c r="AF225" s="102"/>
      <c r="AG225" s="102"/>
    </row>
    <row r="226" spans="2:45" ht="27" customHeight="1" x14ac:dyDescent="0.4">
      <c r="C226" s="117"/>
      <c r="D226" s="118"/>
      <c r="E226" s="118"/>
      <c r="F226" s="118"/>
      <c r="G226" s="118"/>
      <c r="H226" s="118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18"/>
      <c r="U226" s="102"/>
      <c r="V226" s="118"/>
      <c r="W226" s="102"/>
      <c r="X226" s="118"/>
      <c r="Y226" s="102"/>
      <c r="Z226" s="118"/>
      <c r="AA226" s="102"/>
      <c r="AB226" s="118"/>
      <c r="AC226" s="118"/>
    </row>
    <row r="227" spans="2:45" ht="27" customHeight="1" x14ac:dyDescent="0.4">
      <c r="B227" s="118" t="str">
        <f ca="1">IF(B229="①","【監督会議 8：20～】","【監督会議 12：50～】")</f>
        <v>【監督会議 8：20～】</v>
      </c>
      <c r="I227" s="96" t="s">
        <v>330</v>
      </c>
    </row>
    <row r="228" spans="2:45" ht="27" customHeight="1" x14ac:dyDescent="0.4">
      <c r="B228" s="97"/>
      <c r="C228" s="711" t="s">
        <v>3</v>
      </c>
      <c r="D228" s="711"/>
      <c r="E228" s="711"/>
      <c r="F228" s="712" t="s">
        <v>4</v>
      </c>
      <c r="G228" s="712"/>
      <c r="H228" s="712"/>
      <c r="I228" s="712"/>
      <c r="J228" s="711" t="s">
        <v>5</v>
      </c>
      <c r="K228" s="713"/>
      <c r="L228" s="713"/>
      <c r="M228" s="713"/>
      <c r="N228" s="713"/>
      <c r="O228" s="713"/>
      <c r="P228" s="713"/>
      <c r="Q228" s="711" t="s">
        <v>32</v>
      </c>
      <c r="R228" s="711"/>
      <c r="S228" s="711"/>
      <c r="T228" s="711"/>
      <c r="U228" s="711"/>
      <c r="V228" s="711"/>
      <c r="W228" s="711"/>
      <c r="X228" s="711" t="s">
        <v>5</v>
      </c>
      <c r="Y228" s="713"/>
      <c r="Z228" s="713"/>
      <c r="AA228" s="713"/>
      <c r="AB228" s="713"/>
      <c r="AC228" s="713"/>
      <c r="AD228" s="713"/>
      <c r="AE228" s="712" t="s">
        <v>4</v>
      </c>
      <c r="AF228" s="712"/>
      <c r="AG228" s="712"/>
      <c r="AH228" s="712"/>
      <c r="AI228" s="711" t="s">
        <v>6</v>
      </c>
      <c r="AJ228" s="711"/>
      <c r="AK228" s="713"/>
      <c r="AL228" s="713"/>
      <c r="AM228" s="713"/>
      <c r="AN228" s="713"/>
      <c r="AO228" s="713"/>
      <c r="AP228" s="713"/>
    </row>
    <row r="229" spans="2:45" ht="27" customHeight="1" x14ac:dyDescent="0.4">
      <c r="B229" s="644" t="str">
        <f ca="1">DBCS(INDIRECT("U12対戦スケジュール!ｇ"&amp;(ROW()-1)/2-AR$224))</f>
        <v>①</v>
      </c>
      <c r="C229" s="645">
        <f ca="1">INDIRECT("U12対戦スケジュール!ｈ"&amp;(ROW()-1)/2-AR$224)</f>
        <v>0.375</v>
      </c>
      <c r="D229" s="646"/>
      <c r="E229" s="647"/>
      <c r="F229" s="622"/>
      <c r="G229" s="623"/>
      <c r="H229" s="623"/>
      <c r="I229" s="624"/>
      <c r="J229" s="746" t="str">
        <f ca="1">VLOOKUP(AR229,U12組合せ!B$10:K$19,5,TRUE)</f>
        <v>ウエストフットコム</v>
      </c>
      <c r="K229" s="747"/>
      <c r="L229" s="747"/>
      <c r="M229" s="747"/>
      <c r="N229" s="747"/>
      <c r="O229" s="747"/>
      <c r="P229" s="747"/>
      <c r="Q229" s="628">
        <f>IF(OR(S229="",S230=""),"",S229+S230)</f>
        <v>1</v>
      </c>
      <c r="R229" s="630"/>
      <c r="S229" s="100">
        <v>0</v>
      </c>
      <c r="T229" s="101" t="s">
        <v>7</v>
      </c>
      <c r="U229" s="100">
        <v>0</v>
      </c>
      <c r="V229" s="628">
        <f>IF(OR(U229="",U230=""),"",U229+U230)</f>
        <v>0</v>
      </c>
      <c r="W229" s="630"/>
      <c r="X229" s="746" t="str">
        <f ca="1">VLOOKUP(AS229,U12組合せ!B$10:K$19,5,TRUE)</f>
        <v>FCグラシアス</v>
      </c>
      <c r="Y229" s="747"/>
      <c r="Z229" s="747"/>
      <c r="AA229" s="747"/>
      <c r="AB229" s="747"/>
      <c r="AC229" s="747"/>
      <c r="AD229" s="747"/>
      <c r="AE229" s="622"/>
      <c r="AF229" s="623"/>
      <c r="AG229" s="623"/>
      <c r="AH229" s="624"/>
      <c r="AI229" s="758" t="str">
        <f ca="1">DBCS(VLOOKUP(B229,U12対戦スケジュール!G$66:L$68,6,TRUE))</f>
        <v>７／２／６／７</v>
      </c>
      <c r="AJ229" s="759"/>
      <c r="AK229" s="759"/>
      <c r="AL229" s="759"/>
      <c r="AM229" s="759"/>
      <c r="AN229" s="759"/>
      <c r="AO229" s="759"/>
      <c r="AP229" s="760"/>
      <c r="AR229" s="119">
        <f ca="1">INDIRECT("U12対戦スケジュール!I"&amp;(ROW()-1)/2-AR$224)</f>
        <v>2</v>
      </c>
      <c r="AS229" s="119">
        <f ca="1">INDIRECT("U12対戦スケジュール!K"&amp;(ROW()-1)/2-AR$224)</f>
        <v>6</v>
      </c>
    </row>
    <row r="230" spans="2:45" ht="27" customHeight="1" x14ac:dyDescent="0.4">
      <c r="B230" s="644"/>
      <c r="C230" s="648"/>
      <c r="D230" s="649"/>
      <c r="E230" s="650"/>
      <c r="F230" s="625"/>
      <c r="G230" s="626"/>
      <c r="H230" s="626"/>
      <c r="I230" s="627"/>
      <c r="J230" s="747"/>
      <c r="K230" s="747"/>
      <c r="L230" s="747"/>
      <c r="M230" s="747"/>
      <c r="N230" s="747"/>
      <c r="O230" s="747"/>
      <c r="P230" s="747"/>
      <c r="Q230" s="631"/>
      <c r="R230" s="633"/>
      <c r="S230" s="100">
        <v>1</v>
      </c>
      <c r="T230" s="101" t="s">
        <v>7</v>
      </c>
      <c r="U230" s="100">
        <v>0</v>
      </c>
      <c r="V230" s="631"/>
      <c r="W230" s="633"/>
      <c r="X230" s="747"/>
      <c r="Y230" s="747"/>
      <c r="Z230" s="747"/>
      <c r="AA230" s="747"/>
      <c r="AB230" s="747"/>
      <c r="AC230" s="747"/>
      <c r="AD230" s="747"/>
      <c r="AE230" s="625"/>
      <c r="AF230" s="626"/>
      <c r="AG230" s="626"/>
      <c r="AH230" s="627"/>
      <c r="AI230" s="761"/>
      <c r="AJ230" s="762"/>
      <c r="AK230" s="762"/>
      <c r="AL230" s="762"/>
      <c r="AM230" s="762"/>
      <c r="AN230" s="762"/>
      <c r="AO230" s="762"/>
      <c r="AP230" s="763"/>
      <c r="AR230" s="119"/>
      <c r="AS230" s="119"/>
    </row>
    <row r="231" spans="2:45" ht="27" customHeight="1" x14ac:dyDescent="0.4">
      <c r="B231" s="644" t="str">
        <f ca="1">DBCS(INDIRECT("U12対戦スケジュール!ｇ"&amp;(ROW()-1)/2-AR$224))</f>
        <v>②</v>
      </c>
      <c r="C231" s="645">
        <f ca="1">INDIRECT("U12対戦スケジュール!ｈ"&amp;(ROW()-1)/2-AR$224)</f>
        <v>0.41699999999999998</v>
      </c>
      <c r="D231" s="646"/>
      <c r="E231" s="647"/>
      <c r="F231" s="622"/>
      <c r="G231" s="623"/>
      <c r="H231" s="623"/>
      <c r="I231" s="624"/>
      <c r="J231" s="746" t="str">
        <f ca="1">VLOOKUP(AR231,U12組合せ!B$10:K$19,5,TRUE)</f>
        <v>上三川SC</v>
      </c>
      <c r="K231" s="747"/>
      <c r="L231" s="747"/>
      <c r="M231" s="747"/>
      <c r="N231" s="747"/>
      <c r="O231" s="747"/>
      <c r="P231" s="747"/>
      <c r="Q231" s="628">
        <f>IF(OR(S231="",S232=""),"",S231+S232)</f>
        <v>0</v>
      </c>
      <c r="R231" s="630"/>
      <c r="S231" s="100">
        <v>0</v>
      </c>
      <c r="T231" s="101" t="s">
        <v>7</v>
      </c>
      <c r="U231" s="100">
        <v>1</v>
      </c>
      <c r="V231" s="628">
        <f>IF(OR(U231="",U232=""),"",U231+U232)</f>
        <v>2</v>
      </c>
      <c r="W231" s="630"/>
      <c r="X231" s="746" t="str">
        <f ca="1">VLOOKUP(AS231,U12組合せ!B$10:K$19,5,TRUE)</f>
        <v>FCグラシアス</v>
      </c>
      <c r="Y231" s="747"/>
      <c r="Z231" s="747"/>
      <c r="AA231" s="747"/>
      <c r="AB231" s="747"/>
      <c r="AC231" s="747"/>
      <c r="AD231" s="747"/>
      <c r="AE231" s="622"/>
      <c r="AF231" s="623"/>
      <c r="AG231" s="623"/>
      <c r="AH231" s="624"/>
      <c r="AI231" s="758" t="str">
        <f ca="1">DBCS(VLOOKUP(B231,U12対戦スケジュール!G$66:L$68,6,TRUE))</f>
        <v>２／６／７／２</v>
      </c>
      <c r="AJ231" s="759"/>
      <c r="AK231" s="759"/>
      <c r="AL231" s="759"/>
      <c r="AM231" s="759"/>
      <c r="AN231" s="759"/>
      <c r="AO231" s="759"/>
      <c r="AP231" s="760"/>
      <c r="AR231" s="119">
        <f ca="1">INDIRECT("U12対戦スケジュール!I"&amp;(ROW()-1)/2-AR$224)</f>
        <v>7</v>
      </c>
      <c r="AS231" s="119">
        <f ca="1">INDIRECT("U12対戦スケジュール!K"&amp;(ROW()-1)/2-AR$224)</f>
        <v>6</v>
      </c>
    </row>
    <row r="232" spans="2:45" ht="27" customHeight="1" x14ac:dyDescent="0.4">
      <c r="B232" s="644"/>
      <c r="C232" s="648"/>
      <c r="D232" s="649"/>
      <c r="E232" s="650"/>
      <c r="F232" s="625"/>
      <c r="G232" s="626"/>
      <c r="H232" s="626"/>
      <c r="I232" s="627"/>
      <c r="J232" s="747"/>
      <c r="K232" s="747"/>
      <c r="L232" s="747"/>
      <c r="M232" s="747"/>
      <c r="N232" s="747"/>
      <c r="O232" s="747"/>
      <c r="P232" s="747"/>
      <c r="Q232" s="631"/>
      <c r="R232" s="633"/>
      <c r="S232" s="100">
        <v>0</v>
      </c>
      <c r="T232" s="101" t="s">
        <v>7</v>
      </c>
      <c r="U232" s="100">
        <v>1</v>
      </c>
      <c r="V232" s="631"/>
      <c r="W232" s="633"/>
      <c r="X232" s="747"/>
      <c r="Y232" s="747"/>
      <c r="Z232" s="747"/>
      <c r="AA232" s="747"/>
      <c r="AB232" s="747"/>
      <c r="AC232" s="747"/>
      <c r="AD232" s="747"/>
      <c r="AE232" s="625"/>
      <c r="AF232" s="626"/>
      <c r="AG232" s="626"/>
      <c r="AH232" s="627"/>
      <c r="AI232" s="761"/>
      <c r="AJ232" s="762"/>
      <c r="AK232" s="762"/>
      <c r="AL232" s="762"/>
      <c r="AM232" s="762"/>
      <c r="AN232" s="762"/>
      <c r="AO232" s="762"/>
      <c r="AP232" s="763"/>
      <c r="AR232" s="119"/>
      <c r="AS232" s="119"/>
    </row>
    <row r="233" spans="2:45" ht="27" customHeight="1" x14ac:dyDescent="0.4">
      <c r="B233" s="644" t="str">
        <f ca="1">DBCS(INDIRECT("U12対戦スケジュール!ｇ"&amp;(ROW()-1)/2-AR$224))</f>
        <v>③</v>
      </c>
      <c r="C233" s="645">
        <f ca="1">INDIRECT("U12対戦スケジュール!ｈ"&amp;(ROW()-1)/2-AR$224)</f>
        <v>0.45899999999999996</v>
      </c>
      <c r="D233" s="646"/>
      <c r="E233" s="647"/>
      <c r="F233" s="622"/>
      <c r="G233" s="623"/>
      <c r="H233" s="623"/>
      <c r="I233" s="624"/>
      <c r="J233" s="746" t="str">
        <f ca="1">VLOOKUP(AR233,U12組合せ!B$10:K$19,5,TRUE)</f>
        <v>上三川SC</v>
      </c>
      <c r="K233" s="747"/>
      <c r="L233" s="747"/>
      <c r="M233" s="747"/>
      <c r="N233" s="747"/>
      <c r="O233" s="747"/>
      <c r="P233" s="747"/>
      <c r="Q233" s="628">
        <f>IF(OR(S233="",S234=""),"",S233+S234)</f>
        <v>0</v>
      </c>
      <c r="R233" s="630"/>
      <c r="S233" s="100">
        <v>0</v>
      </c>
      <c r="T233" s="101" t="s">
        <v>7</v>
      </c>
      <c r="U233" s="100">
        <v>0</v>
      </c>
      <c r="V233" s="628">
        <f>IF(OR(U233="",U234=""),"",U233+U234)</f>
        <v>1</v>
      </c>
      <c r="W233" s="630"/>
      <c r="X233" s="746" t="str">
        <f ca="1">VLOOKUP(AS233,U12組合せ!B$10:K$19,5,TRUE)</f>
        <v>ウエストフットコム</v>
      </c>
      <c r="Y233" s="747"/>
      <c r="Z233" s="747"/>
      <c r="AA233" s="747"/>
      <c r="AB233" s="747"/>
      <c r="AC233" s="747"/>
      <c r="AD233" s="747"/>
      <c r="AE233" s="622"/>
      <c r="AF233" s="623"/>
      <c r="AG233" s="623"/>
      <c r="AH233" s="624"/>
      <c r="AI233" s="758" t="str">
        <f ca="1">DBCS(VLOOKUP(B233,U12対戦スケジュール!G$66:L$68,6,TRUE))</f>
        <v>６／７／２／６</v>
      </c>
      <c r="AJ233" s="759"/>
      <c r="AK233" s="759"/>
      <c r="AL233" s="759"/>
      <c r="AM233" s="759"/>
      <c r="AN233" s="759"/>
      <c r="AO233" s="759"/>
      <c r="AP233" s="760"/>
      <c r="AR233" s="119">
        <f ca="1">INDIRECT("U12対戦スケジュール!I"&amp;(ROW()-1)/2-AR$224)</f>
        <v>7</v>
      </c>
      <c r="AS233" s="119">
        <f ca="1">INDIRECT("U12対戦スケジュール!K"&amp;(ROW()-1)/2-AR$224)</f>
        <v>2</v>
      </c>
    </row>
    <row r="234" spans="2:45" ht="27" customHeight="1" x14ac:dyDescent="0.4">
      <c r="B234" s="644"/>
      <c r="C234" s="648"/>
      <c r="D234" s="649"/>
      <c r="E234" s="650"/>
      <c r="F234" s="625"/>
      <c r="G234" s="626"/>
      <c r="H234" s="626"/>
      <c r="I234" s="627"/>
      <c r="J234" s="747"/>
      <c r="K234" s="747"/>
      <c r="L234" s="747"/>
      <c r="M234" s="747"/>
      <c r="N234" s="747"/>
      <c r="O234" s="747"/>
      <c r="P234" s="747"/>
      <c r="Q234" s="631"/>
      <c r="R234" s="633"/>
      <c r="S234" s="100">
        <v>0</v>
      </c>
      <c r="T234" s="101" t="s">
        <v>7</v>
      </c>
      <c r="U234" s="100">
        <v>1</v>
      </c>
      <c r="V234" s="631"/>
      <c r="W234" s="633"/>
      <c r="X234" s="747"/>
      <c r="Y234" s="747"/>
      <c r="Z234" s="747"/>
      <c r="AA234" s="747"/>
      <c r="AB234" s="747"/>
      <c r="AC234" s="747"/>
      <c r="AD234" s="747"/>
      <c r="AE234" s="625"/>
      <c r="AF234" s="626"/>
      <c r="AG234" s="626"/>
      <c r="AH234" s="627"/>
      <c r="AI234" s="761"/>
      <c r="AJ234" s="762"/>
      <c r="AK234" s="762"/>
      <c r="AL234" s="762"/>
      <c r="AM234" s="762"/>
      <c r="AN234" s="762"/>
      <c r="AO234" s="762"/>
      <c r="AP234" s="763"/>
      <c r="AR234" s="119"/>
      <c r="AS234" s="119"/>
    </row>
    <row r="235" spans="2:45" ht="27" customHeight="1" x14ac:dyDescent="0.4">
      <c r="B235" s="585"/>
      <c r="C235" s="645"/>
      <c r="D235" s="646"/>
      <c r="E235" s="647"/>
      <c r="F235" s="622"/>
      <c r="G235" s="623"/>
      <c r="H235" s="623"/>
      <c r="I235" s="624"/>
      <c r="J235" s="758"/>
      <c r="K235" s="759"/>
      <c r="L235" s="759"/>
      <c r="M235" s="759"/>
      <c r="N235" s="759"/>
      <c r="O235" s="759"/>
      <c r="P235" s="760"/>
      <c r="Q235" s="628"/>
      <c r="R235" s="630"/>
      <c r="S235" s="109"/>
      <c r="T235" s="110"/>
      <c r="U235" s="109"/>
      <c r="V235" s="628"/>
      <c r="W235" s="630"/>
      <c r="X235" s="758"/>
      <c r="Y235" s="759"/>
      <c r="Z235" s="759"/>
      <c r="AA235" s="759"/>
      <c r="AB235" s="759"/>
      <c r="AC235" s="759"/>
      <c r="AD235" s="760"/>
      <c r="AE235" s="622"/>
      <c r="AF235" s="623"/>
      <c r="AG235" s="623"/>
      <c r="AH235" s="624"/>
      <c r="AI235" s="770"/>
      <c r="AJ235" s="771"/>
      <c r="AK235" s="771"/>
      <c r="AL235" s="771"/>
      <c r="AM235" s="771"/>
      <c r="AN235" s="771"/>
      <c r="AO235" s="771"/>
      <c r="AP235" s="772"/>
      <c r="AR235" s="119"/>
      <c r="AS235" s="119"/>
    </row>
    <row r="236" spans="2:45" ht="27" customHeight="1" x14ac:dyDescent="0.4">
      <c r="B236" s="586"/>
      <c r="C236" s="648"/>
      <c r="D236" s="649"/>
      <c r="E236" s="650"/>
      <c r="F236" s="625"/>
      <c r="G236" s="626"/>
      <c r="H236" s="626"/>
      <c r="I236" s="627"/>
      <c r="J236" s="761"/>
      <c r="K236" s="762"/>
      <c r="L236" s="762"/>
      <c r="M236" s="762"/>
      <c r="N236" s="762"/>
      <c r="O236" s="762"/>
      <c r="P236" s="763"/>
      <c r="Q236" s="631"/>
      <c r="R236" s="633"/>
      <c r="S236" s="100"/>
      <c r="T236" s="101"/>
      <c r="U236" s="100"/>
      <c r="V236" s="631"/>
      <c r="W236" s="633"/>
      <c r="X236" s="761"/>
      <c r="Y236" s="762"/>
      <c r="Z236" s="762"/>
      <c r="AA236" s="762"/>
      <c r="AB236" s="762"/>
      <c r="AC236" s="762"/>
      <c r="AD236" s="763"/>
      <c r="AE236" s="625"/>
      <c r="AF236" s="626"/>
      <c r="AG236" s="626"/>
      <c r="AH236" s="627"/>
      <c r="AI236" s="773"/>
      <c r="AJ236" s="774"/>
      <c r="AK236" s="774"/>
      <c r="AL236" s="774"/>
      <c r="AM236" s="774"/>
      <c r="AN236" s="774"/>
      <c r="AO236" s="774"/>
      <c r="AP236" s="775"/>
      <c r="AR236" s="119"/>
      <c r="AS236" s="119"/>
    </row>
    <row r="237" spans="2:45" ht="27" customHeight="1" x14ac:dyDescent="0.4">
      <c r="B237" s="585"/>
      <c r="C237" s="645"/>
      <c r="D237" s="646"/>
      <c r="E237" s="647"/>
      <c r="F237" s="622"/>
      <c r="G237" s="623"/>
      <c r="H237" s="623"/>
      <c r="I237" s="624"/>
      <c r="J237" s="758"/>
      <c r="K237" s="759"/>
      <c r="L237" s="759"/>
      <c r="M237" s="759"/>
      <c r="N237" s="759"/>
      <c r="O237" s="759"/>
      <c r="P237" s="760"/>
      <c r="Q237" s="628"/>
      <c r="R237" s="630"/>
      <c r="S237" s="100"/>
      <c r="T237" s="101"/>
      <c r="U237" s="100"/>
      <c r="V237" s="628"/>
      <c r="W237" s="630"/>
      <c r="X237" s="758"/>
      <c r="Y237" s="759"/>
      <c r="Z237" s="759"/>
      <c r="AA237" s="759"/>
      <c r="AB237" s="759"/>
      <c r="AC237" s="759"/>
      <c r="AD237" s="760"/>
      <c r="AE237" s="622"/>
      <c r="AF237" s="623"/>
      <c r="AG237" s="623"/>
      <c r="AH237" s="624"/>
      <c r="AI237" s="770"/>
      <c r="AJ237" s="771"/>
      <c r="AK237" s="771"/>
      <c r="AL237" s="771"/>
      <c r="AM237" s="771"/>
      <c r="AN237" s="771"/>
      <c r="AO237" s="771"/>
      <c r="AP237" s="772"/>
      <c r="AR237" s="119"/>
      <c r="AS237" s="119"/>
    </row>
    <row r="238" spans="2:45" ht="27" customHeight="1" x14ac:dyDescent="0.4">
      <c r="B238" s="586"/>
      <c r="C238" s="648"/>
      <c r="D238" s="649"/>
      <c r="E238" s="650"/>
      <c r="F238" s="625"/>
      <c r="G238" s="626"/>
      <c r="H238" s="626"/>
      <c r="I238" s="627"/>
      <c r="J238" s="761"/>
      <c r="K238" s="762"/>
      <c r="L238" s="762"/>
      <c r="M238" s="762"/>
      <c r="N238" s="762"/>
      <c r="O238" s="762"/>
      <c r="P238" s="763"/>
      <c r="Q238" s="631"/>
      <c r="R238" s="633"/>
      <c r="S238" s="100"/>
      <c r="T238" s="101"/>
      <c r="U238" s="100"/>
      <c r="V238" s="631"/>
      <c r="W238" s="633"/>
      <c r="X238" s="761"/>
      <c r="Y238" s="762"/>
      <c r="Z238" s="762"/>
      <c r="AA238" s="762"/>
      <c r="AB238" s="762"/>
      <c r="AC238" s="762"/>
      <c r="AD238" s="763"/>
      <c r="AE238" s="625"/>
      <c r="AF238" s="626"/>
      <c r="AG238" s="626"/>
      <c r="AH238" s="627"/>
      <c r="AI238" s="773"/>
      <c r="AJ238" s="774"/>
      <c r="AK238" s="774"/>
      <c r="AL238" s="774"/>
      <c r="AM238" s="774"/>
      <c r="AN238" s="774"/>
      <c r="AO238" s="774"/>
      <c r="AP238" s="775"/>
      <c r="AR238" s="119"/>
      <c r="AS238" s="119"/>
    </row>
    <row r="239" spans="2:45" ht="27" customHeight="1" x14ac:dyDescent="0.4">
      <c r="B239" s="585"/>
      <c r="C239" s="645"/>
      <c r="D239" s="646"/>
      <c r="E239" s="647"/>
      <c r="F239" s="622"/>
      <c r="G239" s="623"/>
      <c r="H239" s="623"/>
      <c r="I239" s="624"/>
      <c r="J239" s="758"/>
      <c r="K239" s="759"/>
      <c r="L239" s="759"/>
      <c r="M239" s="759"/>
      <c r="N239" s="759"/>
      <c r="O239" s="759"/>
      <c r="P239" s="760"/>
      <c r="Q239" s="628"/>
      <c r="R239" s="630"/>
      <c r="S239" s="100"/>
      <c r="T239" s="101"/>
      <c r="U239" s="100"/>
      <c r="V239" s="628"/>
      <c r="W239" s="630"/>
      <c r="X239" s="758"/>
      <c r="Y239" s="759"/>
      <c r="Z239" s="759"/>
      <c r="AA239" s="759"/>
      <c r="AB239" s="759"/>
      <c r="AC239" s="759"/>
      <c r="AD239" s="760"/>
      <c r="AE239" s="622"/>
      <c r="AF239" s="623"/>
      <c r="AG239" s="623"/>
      <c r="AH239" s="624"/>
      <c r="AI239" s="770"/>
      <c r="AJ239" s="771"/>
      <c r="AK239" s="771"/>
      <c r="AL239" s="771"/>
      <c r="AM239" s="771"/>
      <c r="AN239" s="771"/>
      <c r="AO239" s="771"/>
      <c r="AP239" s="772"/>
      <c r="AR239" s="119"/>
      <c r="AS239" s="119"/>
    </row>
    <row r="240" spans="2:45" ht="27" customHeight="1" x14ac:dyDescent="0.4">
      <c r="B240" s="586"/>
      <c r="C240" s="648"/>
      <c r="D240" s="649"/>
      <c r="E240" s="650"/>
      <c r="F240" s="625"/>
      <c r="G240" s="626"/>
      <c r="H240" s="626"/>
      <c r="I240" s="627"/>
      <c r="J240" s="761"/>
      <c r="K240" s="762"/>
      <c r="L240" s="762"/>
      <c r="M240" s="762"/>
      <c r="N240" s="762"/>
      <c r="O240" s="762"/>
      <c r="P240" s="763"/>
      <c r="Q240" s="631"/>
      <c r="R240" s="633"/>
      <c r="S240" s="100"/>
      <c r="T240" s="101"/>
      <c r="U240" s="100"/>
      <c r="V240" s="631"/>
      <c r="W240" s="633"/>
      <c r="X240" s="761"/>
      <c r="Y240" s="762"/>
      <c r="Z240" s="762"/>
      <c r="AA240" s="762"/>
      <c r="AB240" s="762"/>
      <c r="AC240" s="762"/>
      <c r="AD240" s="763"/>
      <c r="AE240" s="625"/>
      <c r="AF240" s="626"/>
      <c r="AG240" s="626"/>
      <c r="AH240" s="627"/>
      <c r="AI240" s="773"/>
      <c r="AJ240" s="774"/>
      <c r="AK240" s="774"/>
      <c r="AL240" s="774"/>
      <c r="AM240" s="774"/>
      <c r="AN240" s="774"/>
      <c r="AO240" s="774"/>
      <c r="AP240" s="775"/>
      <c r="AR240" s="119"/>
      <c r="AS240" s="119"/>
    </row>
    <row r="241" spans="1:45" ht="27" customHeight="1" x14ac:dyDescent="0.4">
      <c r="B241" s="585"/>
      <c r="C241" s="764"/>
      <c r="D241" s="765"/>
      <c r="E241" s="766"/>
      <c r="F241" s="622"/>
      <c r="G241" s="623"/>
      <c r="H241" s="623"/>
      <c r="I241" s="624"/>
      <c r="J241" s="689"/>
      <c r="K241" s="690"/>
      <c r="L241" s="690"/>
      <c r="M241" s="690"/>
      <c r="N241" s="690"/>
      <c r="O241" s="690"/>
      <c r="P241" s="691"/>
      <c r="Q241" s="628"/>
      <c r="R241" s="630"/>
      <c r="S241" s="100"/>
      <c r="T241" s="101"/>
      <c r="U241" s="100"/>
      <c r="V241" s="628"/>
      <c r="W241" s="630"/>
      <c r="X241" s="689"/>
      <c r="Y241" s="690"/>
      <c r="Z241" s="690"/>
      <c r="AA241" s="690"/>
      <c r="AB241" s="690"/>
      <c r="AC241" s="690"/>
      <c r="AD241" s="691"/>
      <c r="AE241" s="622"/>
      <c r="AF241" s="623"/>
      <c r="AG241" s="623"/>
      <c r="AH241" s="624"/>
      <c r="AI241" s="628"/>
      <c r="AJ241" s="629"/>
      <c r="AK241" s="629"/>
      <c r="AL241" s="629"/>
      <c r="AM241" s="629"/>
      <c r="AN241" s="629"/>
      <c r="AO241" s="629"/>
      <c r="AP241" s="630"/>
      <c r="AR241" s="119"/>
      <c r="AS241" s="119"/>
    </row>
    <row r="242" spans="1:45" ht="27" customHeight="1" x14ac:dyDescent="0.4">
      <c r="B242" s="586"/>
      <c r="C242" s="767"/>
      <c r="D242" s="768"/>
      <c r="E242" s="769"/>
      <c r="F242" s="625"/>
      <c r="G242" s="626"/>
      <c r="H242" s="626"/>
      <c r="I242" s="627"/>
      <c r="J242" s="692"/>
      <c r="K242" s="693"/>
      <c r="L242" s="693"/>
      <c r="M242" s="693"/>
      <c r="N242" s="693"/>
      <c r="O242" s="693"/>
      <c r="P242" s="694"/>
      <c r="Q242" s="631"/>
      <c r="R242" s="633"/>
      <c r="S242" s="100"/>
      <c r="T242" s="101"/>
      <c r="U242" s="100"/>
      <c r="V242" s="631"/>
      <c r="W242" s="633"/>
      <c r="X242" s="692"/>
      <c r="Y242" s="693"/>
      <c r="Z242" s="693"/>
      <c r="AA242" s="693"/>
      <c r="AB242" s="693"/>
      <c r="AC242" s="693"/>
      <c r="AD242" s="694"/>
      <c r="AE242" s="625"/>
      <c r="AF242" s="626"/>
      <c r="AG242" s="626"/>
      <c r="AH242" s="627"/>
      <c r="AI242" s="631"/>
      <c r="AJ242" s="632"/>
      <c r="AK242" s="632"/>
      <c r="AL242" s="632"/>
      <c r="AM242" s="632"/>
      <c r="AN242" s="632"/>
      <c r="AO242" s="632"/>
      <c r="AP242" s="633"/>
      <c r="AR242" s="119"/>
      <c r="AS242" s="119"/>
    </row>
    <row r="243" spans="1:45" ht="27" customHeight="1" thickBot="1" x14ac:dyDescent="0.45">
      <c r="A243" s="102"/>
      <c r="B243" s="103"/>
      <c r="C243" s="104"/>
      <c r="D243" s="104"/>
      <c r="E243" s="104"/>
      <c r="F243" s="103"/>
      <c r="G243" s="103"/>
      <c r="H243" s="103"/>
      <c r="I243" s="103"/>
      <c r="J243" s="103"/>
      <c r="K243" s="105"/>
      <c r="L243" s="105"/>
      <c r="M243" s="106"/>
      <c r="N243" s="107"/>
      <c r="O243" s="106"/>
      <c r="P243" s="105"/>
      <c r="Q243" s="105"/>
      <c r="R243" s="103"/>
      <c r="S243" s="103"/>
      <c r="T243" s="103"/>
      <c r="U243" s="103"/>
      <c r="V243" s="103"/>
      <c r="W243" s="108"/>
      <c r="X243" s="108"/>
      <c r="Y243" s="108"/>
      <c r="Z243" s="108"/>
      <c r="AA243" s="108"/>
      <c r="AB243" s="108"/>
      <c r="AC243" s="102"/>
    </row>
    <row r="244" spans="1:45" ht="27" customHeight="1" thickBot="1" x14ac:dyDescent="0.45">
      <c r="D244" s="664" t="s">
        <v>8</v>
      </c>
      <c r="E244" s="665"/>
      <c r="F244" s="665"/>
      <c r="G244" s="665"/>
      <c r="H244" s="665"/>
      <c r="I244" s="666"/>
      <c r="J244" s="667" t="s">
        <v>5</v>
      </c>
      <c r="K244" s="665"/>
      <c r="L244" s="665"/>
      <c r="M244" s="665"/>
      <c r="N244" s="665"/>
      <c r="O244" s="665"/>
      <c r="P244" s="665"/>
      <c r="Q244" s="666"/>
      <c r="R244" s="668" t="s">
        <v>9</v>
      </c>
      <c r="S244" s="669"/>
      <c r="T244" s="669"/>
      <c r="U244" s="669"/>
      <c r="V244" s="669"/>
      <c r="W244" s="669"/>
      <c r="X244" s="669"/>
      <c r="Y244" s="669"/>
      <c r="Z244" s="670"/>
      <c r="AA244" s="609" t="s">
        <v>10</v>
      </c>
      <c r="AB244" s="610"/>
      <c r="AC244" s="671"/>
      <c r="AD244" s="609" t="s">
        <v>11</v>
      </c>
      <c r="AE244" s="610"/>
      <c r="AF244" s="610"/>
      <c r="AG244" s="610"/>
      <c r="AH244" s="610"/>
      <c r="AI244" s="610"/>
      <c r="AJ244" s="610"/>
      <c r="AK244" s="610"/>
      <c r="AL244" s="610"/>
      <c r="AM244" s="611"/>
    </row>
    <row r="245" spans="1:45" ht="27" customHeight="1" x14ac:dyDescent="0.4">
      <c r="D245" s="651" t="s">
        <v>298</v>
      </c>
      <c r="E245" s="652"/>
      <c r="F245" s="652"/>
      <c r="G245" s="652"/>
      <c r="H245" s="652"/>
      <c r="I245" s="653"/>
      <c r="J245" s="654"/>
      <c r="K245" s="652"/>
      <c r="L245" s="652"/>
      <c r="M245" s="652"/>
      <c r="N245" s="652"/>
      <c r="O245" s="652"/>
      <c r="P245" s="652"/>
      <c r="Q245" s="653"/>
      <c r="R245" s="655"/>
      <c r="S245" s="656"/>
      <c r="T245" s="656"/>
      <c r="U245" s="656"/>
      <c r="V245" s="656"/>
      <c r="W245" s="656"/>
      <c r="X245" s="656"/>
      <c r="Y245" s="656"/>
      <c r="Z245" s="657"/>
      <c r="AA245" s="658"/>
      <c r="AB245" s="659"/>
      <c r="AC245" s="660"/>
      <c r="AD245" s="661"/>
      <c r="AE245" s="662"/>
      <c r="AF245" s="662"/>
      <c r="AG245" s="662"/>
      <c r="AH245" s="662"/>
      <c r="AI245" s="662"/>
      <c r="AJ245" s="662"/>
      <c r="AK245" s="662"/>
      <c r="AL245" s="662"/>
      <c r="AM245" s="663"/>
    </row>
    <row r="246" spans="1:45" ht="27" customHeight="1" x14ac:dyDescent="0.4">
      <c r="D246" s="688" t="s">
        <v>12</v>
      </c>
      <c r="E246" s="604"/>
      <c r="F246" s="604"/>
      <c r="G246" s="604"/>
      <c r="H246" s="604"/>
      <c r="I246" s="605"/>
      <c r="J246" s="603"/>
      <c r="K246" s="604"/>
      <c r="L246" s="604"/>
      <c r="M246" s="604"/>
      <c r="N246" s="604"/>
      <c r="O246" s="604"/>
      <c r="P246" s="604"/>
      <c r="Q246" s="605"/>
      <c r="R246" s="606"/>
      <c r="S246" s="607"/>
      <c r="T246" s="607"/>
      <c r="U246" s="607"/>
      <c r="V246" s="607"/>
      <c r="W246" s="607"/>
      <c r="X246" s="607"/>
      <c r="Y246" s="607"/>
      <c r="Z246" s="608"/>
      <c r="AA246" s="606"/>
      <c r="AB246" s="607"/>
      <c r="AC246" s="608"/>
      <c r="AD246" s="672"/>
      <c r="AE246" s="673"/>
      <c r="AF246" s="673"/>
      <c r="AG246" s="673"/>
      <c r="AH246" s="673"/>
      <c r="AI246" s="673"/>
      <c r="AJ246" s="673"/>
      <c r="AK246" s="673"/>
      <c r="AL246" s="673"/>
      <c r="AM246" s="674"/>
    </row>
    <row r="247" spans="1:45" ht="27" customHeight="1" thickBot="1" x14ac:dyDescent="0.45">
      <c r="D247" s="675" t="s">
        <v>12</v>
      </c>
      <c r="E247" s="676"/>
      <c r="F247" s="676"/>
      <c r="G247" s="676"/>
      <c r="H247" s="676"/>
      <c r="I247" s="677"/>
      <c r="J247" s="678"/>
      <c r="K247" s="676"/>
      <c r="L247" s="676"/>
      <c r="M247" s="676"/>
      <c r="N247" s="676"/>
      <c r="O247" s="676"/>
      <c r="P247" s="676"/>
      <c r="Q247" s="677"/>
      <c r="R247" s="679"/>
      <c r="S247" s="680"/>
      <c r="T247" s="680"/>
      <c r="U247" s="680"/>
      <c r="V247" s="680"/>
      <c r="W247" s="680"/>
      <c r="X247" s="680"/>
      <c r="Y247" s="680"/>
      <c r="Z247" s="681"/>
      <c r="AA247" s="682"/>
      <c r="AB247" s="683"/>
      <c r="AC247" s="684"/>
      <c r="AD247" s="685"/>
      <c r="AE247" s="686"/>
      <c r="AF247" s="686"/>
      <c r="AG247" s="686"/>
      <c r="AH247" s="686"/>
      <c r="AI247" s="686"/>
      <c r="AJ247" s="686"/>
      <c r="AK247" s="686"/>
      <c r="AL247" s="686"/>
      <c r="AM247" s="687"/>
    </row>
    <row r="248" spans="1:45" ht="27" customHeight="1" x14ac:dyDescent="0.4"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7"/>
      <c r="AB248" s="107"/>
      <c r="AC248" s="107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</row>
    <row r="249" spans="1:45" ht="27" customHeight="1" x14ac:dyDescent="0.4">
      <c r="A249" s="115"/>
      <c r="B249" s="599" t="str">
        <f>U12組合せ!$B$1</f>
        <v>ＪＦＡ　Ｕ-１２サッカーリーグ2021（in栃木） 宇都宮地区リーグ戦（前期）</v>
      </c>
      <c r="C249" s="599"/>
      <c r="D249" s="599"/>
      <c r="E249" s="599"/>
      <c r="F249" s="599"/>
      <c r="G249" s="599"/>
      <c r="H249" s="599"/>
      <c r="I249" s="599"/>
      <c r="J249" s="599"/>
      <c r="K249" s="599"/>
      <c r="L249" s="599"/>
      <c r="M249" s="599"/>
      <c r="N249" s="599"/>
      <c r="O249" s="599"/>
      <c r="P249" s="599"/>
      <c r="Q249" s="599"/>
      <c r="R249" s="599"/>
      <c r="S249" s="599"/>
      <c r="T249" s="599"/>
      <c r="U249" s="599"/>
      <c r="V249" s="599"/>
      <c r="W249" s="599"/>
      <c r="X249" s="599"/>
      <c r="Y249" s="599"/>
      <c r="Z249" s="599"/>
      <c r="AA249" s="599"/>
      <c r="AB249" s="599"/>
      <c r="AC249" s="612" t="str">
        <f>"【"&amp;(U12組合せ!$F$3)&amp;"】"</f>
        <v>【Ｂ ブロック】</v>
      </c>
      <c r="AD249" s="612"/>
      <c r="AE249" s="612"/>
      <c r="AF249" s="612"/>
      <c r="AG249" s="612"/>
      <c r="AH249" s="612"/>
      <c r="AI249" s="612"/>
      <c r="AJ249" s="612"/>
      <c r="AK249" s="602" t="str">
        <f>"第"&amp;(U12組合せ!$D$33)</f>
        <v>第３節</v>
      </c>
      <c r="AL249" s="602"/>
      <c r="AM249" s="602"/>
      <c r="AN249" s="602"/>
      <c r="AO249" s="602"/>
      <c r="AP249" s="597" t="s">
        <v>301</v>
      </c>
      <c r="AQ249" s="598"/>
    </row>
    <row r="250" spans="1:45" ht="27" customHeight="1" x14ac:dyDescent="0.4">
      <c r="A250" s="115"/>
      <c r="B250" s="599"/>
      <c r="C250" s="599"/>
      <c r="D250" s="599"/>
      <c r="E250" s="599"/>
      <c r="F250" s="599"/>
      <c r="G250" s="599"/>
      <c r="H250" s="599"/>
      <c r="I250" s="599"/>
      <c r="J250" s="599"/>
      <c r="K250" s="599"/>
      <c r="L250" s="599"/>
      <c r="M250" s="599"/>
      <c r="N250" s="599"/>
      <c r="O250" s="599"/>
      <c r="P250" s="599"/>
      <c r="Q250" s="599"/>
      <c r="R250" s="599"/>
      <c r="S250" s="599"/>
      <c r="T250" s="599"/>
      <c r="U250" s="599"/>
      <c r="V250" s="599"/>
      <c r="W250" s="599"/>
      <c r="X250" s="599"/>
      <c r="Y250" s="599"/>
      <c r="Z250" s="599"/>
      <c r="AA250" s="599"/>
      <c r="AB250" s="599"/>
      <c r="AC250" s="601"/>
      <c r="AD250" s="601"/>
      <c r="AE250" s="601"/>
      <c r="AF250" s="601"/>
      <c r="AG250" s="601"/>
      <c r="AH250" s="601"/>
      <c r="AI250" s="601"/>
      <c r="AJ250" s="601"/>
      <c r="AK250" s="601"/>
      <c r="AL250" s="601"/>
      <c r="AM250" s="601"/>
      <c r="AN250" s="601"/>
      <c r="AO250" s="612"/>
      <c r="AP250" s="598"/>
      <c r="AQ250" s="598"/>
    </row>
    <row r="251" spans="1:45" ht="27" customHeight="1" x14ac:dyDescent="0.4">
      <c r="C251" s="635" t="s">
        <v>1</v>
      </c>
      <c r="D251" s="635"/>
      <c r="E251" s="635"/>
      <c r="F251" s="635"/>
      <c r="G251" s="725" t="str">
        <f>U12対戦スケジュール!I71</f>
        <v>石井 5 AM</v>
      </c>
      <c r="H251" s="726"/>
      <c r="I251" s="726"/>
      <c r="J251" s="726"/>
      <c r="K251" s="726"/>
      <c r="L251" s="726"/>
      <c r="M251" s="726"/>
      <c r="N251" s="726"/>
      <c r="O251" s="727"/>
      <c r="P251" s="635" t="s">
        <v>0</v>
      </c>
      <c r="Q251" s="635"/>
      <c r="R251" s="635"/>
      <c r="S251" s="635"/>
      <c r="T251" s="636" t="str">
        <f>E256</f>
        <v>昭和・戸祭SC</v>
      </c>
      <c r="U251" s="636"/>
      <c r="V251" s="636"/>
      <c r="W251" s="636"/>
      <c r="X251" s="636"/>
      <c r="Y251" s="636"/>
      <c r="Z251" s="636"/>
      <c r="AA251" s="636"/>
      <c r="AB251" s="636"/>
      <c r="AC251" s="635" t="s">
        <v>2</v>
      </c>
      <c r="AD251" s="635"/>
      <c r="AE251" s="635"/>
      <c r="AF251" s="635"/>
      <c r="AG251" s="618">
        <f>U12組合せ!B$33</f>
        <v>44325</v>
      </c>
      <c r="AH251" s="619"/>
      <c r="AI251" s="619"/>
      <c r="AJ251" s="619"/>
      <c r="AK251" s="619"/>
      <c r="AL251" s="619"/>
      <c r="AM251" s="620" t="str">
        <f>"（"&amp;TEXT(AG251,"aaa")&amp;"）"</f>
        <v>（日）</v>
      </c>
      <c r="AN251" s="620"/>
      <c r="AO251" s="621"/>
      <c r="AP251" s="116"/>
    </row>
    <row r="252" spans="1:45" ht="27" customHeight="1" x14ac:dyDescent="0.4">
      <c r="C252" s="96" t="str">
        <f>U12組合せ!G38</f>
        <v>B348</v>
      </c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95"/>
      <c r="X252" s="95"/>
      <c r="Y252" s="95"/>
      <c r="Z252" s="95"/>
      <c r="AA252" s="95"/>
      <c r="AB252" s="95"/>
      <c r="AC252" s="95"/>
    </row>
    <row r="253" spans="1:45" ht="27" customHeight="1" x14ac:dyDescent="0.4">
      <c r="C253" s="637" t="s">
        <v>506</v>
      </c>
      <c r="D253" s="637"/>
      <c r="E253" s="584" t="s">
        <v>551</v>
      </c>
      <c r="F253" s="584"/>
      <c r="G253" s="584"/>
      <c r="H253" s="584"/>
      <c r="I253" s="584"/>
      <c r="J253" s="584"/>
      <c r="K253" s="584"/>
      <c r="L253" s="584"/>
      <c r="M253" s="584"/>
      <c r="N253" s="584"/>
      <c r="O253" s="94"/>
      <c r="P253" s="94"/>
      <c r="Q253" s="637" t="s">
        <v>507</v>
      </c>
      <c r="R253" s="637"/>
      <c r="S253" s="584" t="s">
        <v>552</v>
      </c>
      <c r="T253" s="584"/>
      <c r="U253" s="584"/>
      <c r="V253" s="584"/>
      <c r="W253" s="584"/>
      <c r="X253" s="584"/>
      <c r="Y253" s="584"/>
      <c r="Z253" s="584"/>
      <c r="AA253" s="584"/>
      <c r="AB253" s="584"/>
      <c r="AC253" s="92"/>
      <c r="AD253" s="93"/>
      <c r="AE253" s="710" t="s">
        <v>496</v>
      </c>
      <c r="AF253" s="710"/>
      <c r="AG253" s="638" t="s">
        <v>479</v>
      </c>
      <c r="AH253" s="638"/>
      <c r="AI253" s="638"/>
      <c r="AJ253" s="638"/>
      <c r="AK253" s="638"/>
      <c r="AL253" s="638"/>
      <c r="AM253" s="638"/>
      <c r="AN253" s="638"/>
      <c r="AO253" s="638"/>
      <c r="AP253" s="638"/>
      <c r="AR253" s="96">
        <f>260/2</f>
        <v>130</v>
      </c>
    </row>
    <row r="254" spans="1:45" ht="27" customHeight="1" x14ac:dyDescent="0.4">
      <c r="C254" s="637" t="s">
        <v>560</v>
      </c>
      <c r="D254" s="637"/>
      <c r="E254" s="584" t="s">
        <v>553</v>
      </c>
      <c r="F254" s="584"/>
      <c r="G254" s="584"/>
      <c r="H254" s="584"/>
      <c r="I254" s="584"/>
      <c r="J254" s="584"/>
      <c r="K254" s="584"/>
      <c r="L254" s="584"/>
      <c r="M254" s="584"/>
      <c r="N254" s="584"/>
      <c r="O254" s="94"/>
      <c r="P254" s="94"/>
      <c r="Q254" s="637" t="s">
        <v>562</v>
      </c>
      <c r="R254" s="637"/>
      <c r="S254" s="584" t="s">
        <v>554</v>
      </c>
      <c r="T254" s="584"/>
      <c r="U254" s="584"/>
      <c r="V254" s="584"/>
      <c r="W254" s="584"/>
      <c r="X254" s="584"/>
      <c r="Y254" s="584"/>
      <c r="Z254" s="584"/>
      <c r="AA254" s="584"/>
      <c r="AB254" s="584"/>
      <c r="AC254" s="92"/>
      <c r="AD254" s="93"/>
      <c r="AE254" s="710" t="s">
        <v>498</v>
      </c>
      <c r="AF254" s="710"/>
      <c r="AG254" s="638" t="s">
        <v>480</v>
      </c>
      <c r="AH254" s="638"/>
      <c r="AI254" s="638"/>
      <c r="AJ254" s="638"/>
      <c r="AK254" s="638"/>
      <c r="AL254" s="638"/>
      <c r="AM254" s="638"/>
      <c r="AN254" s="638"/>
      <c r="AO254" s="638"/>
      <c r="AP254" s="638"/>
      <c r="AR254" s="96">
        <v>73</v>
      </c>
    </row>
    <row r="255" spans="1:45" ht="27" customHeight="1" x14ac:dyDescent="0.4">
      <c r="C255" s="636" t="s">
        <v>520</v>
      </c>
      <c r="D255" s="636"/>
      <c r="E255" s="709" t="s">
        <v>555</v>
      </c>
      <c r="F255" s="709"/>
      <c r="G255" s="709"/>
      <c r="H255" s="709"/>
      <c r="I255" s="709"/>
      <c r="J255" s="709"/>
      <c r="K255" s="709"/>
      <c r="L255" s="709"/>
      <c r="M255" s="709"/>
      <c r="N255" s="709"/>
      <c r="O255" s="94"/>
      <c r="P255" s="94"/>
      <c r="Q255" s="636" t="s">
        <v>508</v>
      </c>
      <c r="R255" s="636"/>
      <c r="S255" s="709" t="s">
        <v>556</v>
      </c>
      <c r="T255" s="709"/>
      <c r="U255" s="709"/>
      <c r="V255" s="709"/>
      <c r="W255" s="709"/>
      <c r="X255" s="709"/>
      <c r="Y255" s="709"/>
      <c r="Z255" s="709"/>
      <c r="AA255" s="709"/>
      <c r="AB255" s="709"/>
      <c r="AC255" s="92"/>
      <c r="AD255" s="93"/>
      <c r="AE255" s="710" t="s">
        <v>510</v>
      </c>
      <c r="AF255" s="710"/>
      <c r="AG255" s="638" t="s">
        <v>524</v>
      </c>
      <c r="AH255" s="638"/>
      <c r="AI255" s="638"/>
      <c r="AJ255" s="638"/>
      <c r="AK255" s="638"/>
      <c r="AL255" s="638"/>
      <c r="AM255" s="638"/>
      <c r="AN255" s="638"/>
      <c r="AO255" s="638"/>
      <c r="AP255" s="638"/>
      <c r="AR255" s="96">
        <f>AR253-AR254</f>
        <v>57</v>
      </c>
    </row>
    <row r="256" spans="1:45" ht="27" customHeight="1" x14ac:dyDescent="0.4">
      <c r="B256" s="102"/>
      <c r="C256" s="636" t="s">
        <v>522</v>
      </c>
      <c r="D256" s="636"/>
      <c r="E256" s="709" t="s">
        <v>557</v>
      </c>
      <c r="F256" s="709"/>
      <c r="G256" s="709"/>
      <c r="H256" s="709"/>
      <c r="I256" s="709"/>
      <c r="J256" s="709"/>
      <c r="K256" s="709"/>
      <c r="L256" s="709"/>
      <c r="M256" s="709"/>
      <c r="N256" s="709"/>
      <c r="O256" s="102"/>
      <c r="P256" s="102"/>
      <c r="Q256" s="637" t="s">
        <v>563</v>
      </c>
      <c r="R256" s="637"/>
      <c r="S256" s="584" t="s">
        <v>558</v>
      </c>
      <c r="T256" s="584"/>
      <c r="U256" s="584"/>
      <c r="V256" s="584"/>
      <c r="W256" s="584"/>
      <c r="X256" s="584"/>
      <c r="Y256" s="584"/>
      <c r="Z256" s="584"/>
      <c r="AA256" s="584"/>
      <c r="AB256" s="584"/>
      <c r="AC256" s="95"/>
      <c r="AD256" s="102"/>
      <c r="AE256" s="710" t="s">
        <v>472</v>
      </c>
      <c r="AF256" s="710"/>
      <c r="AG256" s="638" t="s">
        <v>504</v>
      </c>
      <c r="AH256" s="638"/>
      <c r="AI256" s="638"/>
      <c r="AJ256" s="638"/>
      <c r="AK256" s="638"/>
      <c r="AL256" s="638"/>
      <c r="AM256" s="638"/>
      <c r="AN256" s="638"/>
      <c r="AO256" s="638"/>
      <c r="AP256" s="638"/>
      <c r="AQ256" s="398"/>
    </row>
    <row r="257" spans="2:45" ht="28.5" customHeight="1" x14ac:dyDescent="0.4">
      <c r="C257" s="637" t="s">
        <v>561</v>
      </c>
      <c r="D257" s="637"/>
      <c r="E257" s="584" t="s">
        <v>559</v>
      </c>
      <c r="F257" s="584"/>
      <c r="G257" s="584"/>
      <c r="H257" s="584"/>
      <c r="I257" s="584"/>
      <c r="J257" s="584"/>
      <c r="K257" s="584"/>
      <c r="L257" s="584"/>
      <c r="M257" s="584"/>
      <c r="N257" s="584"/>
      <c r="O257" s="102"/>
      <c r="P257" s="102"/>
      <c r="Q257" s="710" t="s">
        <v>490</v>
      </c>
      <c r="R257" s="710"/>
      <c r="S257" s="638" t="s">
        <v>476</v>
      </c>
      <c r="T257" s="638"/>
      <c r="U257" s="638"/>
      <c r="V257" s="638"/>
      <c r="W257" s="638"/>
      <c r="X257" s="638"/>
      <c r="Y257" s="638"/>
      <c r="Z257" s="638"/>
      <c r="AA257" s="638"/>
      <c r="AB257" s="638"/>
      <c r="AC257" s="118"/>
      <c r="AE257" s="710" t="s">
        <v>512</v>
      </c>
      <c r="AF257" s="710"/>
      <c r="AG257" s="638" t="s">
        <v>529</v>
      </c>
      <c r="AH257" s="638"/>
      <c r="AI257" s="638"/>
      <c r="AJ257" s="638"/>
      <c r="AK257" s="638"/>
      <c r="AL257" s="638"/>
      <c r="AM257" s="638"/>
      <c r="AN257" s="638"/>
      <c r="AO257" s="638"/>
      <c r="AP257" s="638"/>
      <c r="AQ257" s="398"/>
    </row>
    <row r="258" spans="2:45" s="396" customFormat="1" ht="36.75" customHeight="1" x14ac:dyDescent="0.25">
      <c r="B258" s="397" t="str">
        <f ca="1">IF(B260="①","【監督会議 8：20～】","【監督会議 12：50～】")</f>
        <v>【監督会議 8：20～】</v>
      </c>
      <c r="I258" s="396" t="s">
        <v>330</v>
      </c>
    </row>
    <row r="259" spans="2:45" ht="27" customHeight="1" x14ac:dyDescent="0.4">
      <c r="B259" s="97"/>
      <c r="C259" s="711" t="s">
        <v>3</v>
      </c>
      <c r="D259" s="711"/>
      <c r="E259" s="711"/>
      <c r="F259" s="712" t="s">
        <v>4</v>
      </c>
      <c r="G259" s="712"/>
      <c r="H259" s="712"/>
      <c r="I259" s="712"/>
      <c r="J259" s="711" t="s">
        <v>5</v>
      </c>
      <c r="K259" s="713"/>
      <c r="L259" s="713"/>
      <c r="M259" s="713"/>
      <c r="N259" s="713"/>
      <c r="O259" s="713"/>
      <c r="P259" s="713"/>
      <c r="Q259" s="711" t="s">
        <v>32</v>
      </c>
      <c r="R259" s="711"/>
      <c r="S259" s="711"/>
      <c r="T259" s="711"/>
      <c r="U259" s="711"/>
      <c r="V259" s="711"/>
      <c r="W259" s="711"/>
      <c r="X259" s="711" t="s">
        <v>5</v>
      </c>
      <c r="Y259" s="713"/>
      <c r="Z259" s="713"/>
      <c r="AA259" s="713"/>
      <c r="AB259" s="713"/>
      <c r="AC259" s="713"/>
      <c r="AD259" s="713"/>
      <c r="AE259" s="712" t="s">
        <v>4</v>
      </c>
      <c r="AF259" s="712"/>
      <c r="AG259" s="712"/>
      <c r="AH259" s="712"/>
      <c r="AI259" s="711" t="s">
        <v>6</v>
      </c>
      <c r="AJ259" s="711"/>
      <c r="AK259" s="713"/>
      <c r="AL259" s="713"/>
      <c r="AM259" s="713"/>
      <c r="AN259" s="713"/>
      <c r="AO259" s="713"/>
      <c r="AP259" s="713"/>
    </row>
    <row r="260" spans="2:45" ht="27" customHeight="1" x14ac:dyDescent="0.4">
      <c r="B260" s="644" t="str">
        <f ca="1">DBCS(INDIRECT("U12対戦スケジュール!ｇ"&amp;(ROW())/2-AR$255))</f>
        <v>①</v>
      </c>
      <c r="C260" s="645">
        <f ca="1">INDIRECT("U12対戦スケジュール!ｈ"&amp;(ROW())/2-AR$255)</f>
        <v>0.375</v>
      </c>
      <c r="D260" s="646"/>
      <c r="E260" s="647"/>
      <c r="F260" s="583"/>
      <c r="G260" s="583"/>
      <c r="H260" s="583"/>
      <c r="I260" s="583"/>
      <c r="J260" s="746" t="str">
        <f ca="1">VLOOKUP(AR260,U12組合せ!B$10:K$19,5,TRUE)</f>
        <v>緑ヶ丘ＹＦＣ</v>
      </c>
      <c r="K260" s="747"/>
      <c r="L260" s="747"/>
      <c r="M260" s="747"/>
      <c r="N260" s="747"/>
      <c r="O260" s="747"/>
      <c r="P260" s="747"/>
      <c r="Q260" s="628">
        <f>IF(OR(S260="",S261=""),"",S260+S261)</f>
        <v>4</v>
      </c>
      <c r="R260" s="630"/>
      <c r="S260" s="100">
        <v>2</v>
      </c>
      <c r="T260" s="101" t="s">
        <v>7</v>
      </c>
      <c r="U260" s="100">
        <v>0</v>
      </c>
      <c r="V260" s="628">
        <f>IF(OR(U260="",U261=""),"",U260+U261)</f>
        <v>0</v>
      </c>
      <c r="W260" s="630"/>
      <c r="X260" s="746" t="str">
        <f ca="1">VLOOKUP(AS260,U12組合せ!B$10:K$19,5,TRUE)</f>
        <v>昭和・戸祭SC</v>
      </c>
      <c r="Y260" s="747"/>
      <c r="Z260" s="747"/>
      <c r="AA260" s="747"/>
      <c r="AB260" s="747"/>
      <c r="AC260" s="747"/>
      <c r="AD260" s="747"/>
      <c r="AE260" s="583"/>
      <c r="AF260" s="583"/>
      <c r="AG260" s="583"/>
      <c r="AH260" s="583"/>
      <c r="AI260" s="758" t="str">
        <f ca="1">DBCS(INDIRECT("U12対戦スケジュール!L"&amp;(ROW())/2-AR$255))</f>
        <v>Ｂ８／Ｃ１／Ａ７／Ｂ８</v>
      </c>
      <c r="AJ260" s="759"/>
      <c r="AK260" s="759"/>
      <c r="AL260" s="759"/>
      <c r="AM260" s="759"/>
      <c r="AN260" s="759"/>
      <c r="AO260" s="759"/>
      <c r="AP260" s="760"/>
      <c r="AR260" s="119">
        <f ca="1">INDIRECT("U12対戦スケジュール!I"&amp;(ROW())/2-AR$255)</f>
        <v>3</v>
      </c>
      <c r="AS260" s="119">
        <f ca="1">INDIRECT("U12対戦スケジュール!K"&amp;(ROW())/2-AR$255)</f>
        <v>4</v>
      </c>
    </row>
    <row r="261" spans="2:45" ht="27" customHeight="1" x14ac:dyDescent="0.4">
      <c r="B261" s="644"/>
      <c r="C261" s="648"/>
      <c r="D261" s="649"/>
      <c r="E261" s="650"/>
      <c r="F261" s="583"/>
      <c r="G261" s="583"/>
      <c r="H261" s="583"/>
      <c r="I261" s="583"/>
      <c r="J261" s="747"/>
      <c r="K261" s="747"/>
      <c r="L261" s="747"/>
      <c r="M261" s="747"/>
      <c r="N261" s="747"/>
      <c r="O261" s="747"/>
      <c r="P261" s="747"/>
      <c r="Q261" s="631"/>
      <c r="R261" s="633"/>
      <c r="S261" s="100">
        <v>2</v>
      </c>
      <c r="T261" s="101" t="s">
        <v>7</v>
      </c>
      <c r="U261" s="100">
        <v>0</v>
      </c>
      <c r="V261" s="631"/>
      <c r="W261" s="633"/>
      <c r="X261" s="747"/>
      <c r="Y261" s="747"/>
      <c r="Z261" s="747"/>
      <c r="AA261" s="747"/>
      <c r="AB261" s="747"/>
      <c r="AC261" s="747"/>
      <c r="AD261" s="747"/>
      <c r="AE261" s="583"/>
      <c r="AF261" s="583"/>
      <c r="AG261" s="583"/>
      <c r="AH261" s="583"/>
      <c r="AI261" s="761"/>
      <c r="AJ261" s="762"/>
      <c r="AK261" s="762"/>
      <c r="AL261" s="762"/>
      <c r="AM261" s="762"/>
      <c r="AN261" s="762"/>
      <c r="AO261" s="762"/>
      <c r="AP261" s="763"/>
      <c r="AR261" s="119"/>
      <c r="AS261" s="119"/>
    </row>
    <row r="262" spans="2:45" ht="27" customHeight="1" x14ac:dyDescent="0.4">
      <c r="B262" s="644" t="str">
        <f ca="1">DBCS(INDIRECT("U12対戦スケジュール!ｇ"&amp;(ROW())/2-AR$255))</f>
        <v>②</v>
      </c>
      <c r="C262" s="645">
        <f ca="1">INDIRECT("U12対戦スケジュール!ｈ"&amp;(ROW())/2-AR$255)</f>
        <v>0.41699999999999998</v>
      </c>
      <c r="D262" s="646"/>
      <c r="E262" s="647"/>
      <c r="F262" s="583"/>
      <c r="G262" s="583"/>
      <c r="H262" s="583"/>
      <c r="I262" s="583"/>
      <c r="J262" s="746" t="str">
        <f ca="1">VLOOKUP(AR262,U12組合せ!B$10:K$19,5,TRUE)</f>
        <v>宇都宮FCジュニア</v>
      </c>
      <c r="K262" s="747"/>
      <c r="L262" s="747"/>
      <c r="M262" s="747"/>
      <c r="N262" s="747"/>
      <c r="O262" s="747"/>
      <c r="P262" s="747"/>
      <c r="Q262" s="634">
        <f>IF(OR(S262="",S263=""),"",S262+S263)</f>
        <v>0</v>
      </c>
      <c r="R262" s="634"/>
      <c r="S262" s="100">
        <v>0</v>
      </c>
      <c r="T262" s="101" t="s">
        <v>7</v>
      </c>
      <c r="U262" s="100">
        <v>0</v>
      </c>
      <c r="V262" s="634">
        <f>IF(OR(U262="",U263=""),"",U262+U263)</f>
        <v>1</v>
      </c>
      <c r="W262" s="634"/>
      <c r="X262" s="746" t="str">
        <f ca="1">VLOOKUP(AS262,U12組合せ!B$10:K$19,5,TRUE)</f>
        <v>昭和・戸祭SC</v>
      </c>
      <c r="Y262" s="747"/>
      <c r="Z262" s="747"/>
      <c r="AA262" s="747"/>
      <c r="AB262" s="747"/>
      <c r="AC262" s="747"/>
      <c r="AD262" s="747"/>
      <c r="AE262" s="583"/>
      <c r="AF262" s="583"/>
      <c r="AG262" s="583"/>
      <c r="AH262" s="583"/>
      <c r="AI262" s="758" t="str">
        <f ca="1">DBCS(INDIRECT("U12対戦スケジュール!L"&amp;(ROW())/2-AR$255))</f>
        <v>Ｂ３／Ｃ６／Ａ８／Ｂ３</v>
      </c>
      <c r="AJ262" s="759"/>
      <c r="AK262" s="759"/>
      <c r="AL262" s="759"/>
      <c r="AM262" s="759"/>
      <c r="AN262" s="759"/>
      <c r="AO262" s="759"/>
      <c r="AP262" s="760"/>
      <c r="AR262" s="119">
        <f ca="1">INDIRECT("U12対戦スケジュール!I"&amp;(ROW())/2-AR$255)</f>
        <v>8</v>
      </c>
      <c r="AS262" s="119">
        <f ca="1">INDIRECT("U12対戦スケジュール!K"&amp;(ROW())/2-AR$255)</f>
        <v>4</v>
      </c>
    </row>
    <row r="263" spans="2:45" ht="27" customHeight="1" x14ac:dyDescent="0.4">
      <c r="B263" s="644"/>
      <c r="C263" s="648"/>
      <c r="D263" s="649"/>
      <c r="E263" s="650"/>
      <c r="F263" s="583"/>
      <c r="G263" s="583"/>
      <c r="H263" s="583"/>
      <c r="I263" s="583"/>
      <c r="J263" s="747"/>
      <c r="K263" s="747"/>
      <c r="L263" s="747"/>
      <c r="M263" s="747"/>
      <c r="N263" s="747"/>
      <c r="O263" s="747"/>
      <c r="P263" s="747"/>
      <c r="Q263" s="634"/>
      <c r="R263" s="634"/>
      <c r="S263" s="100">
        <v>0</v>
      </c>
      <c r="T263" s="101" t="s">
        <v>7</v>
      </c>
      <c r="U263" s="100">
        <v>1</v>
      </c>
      <c r="V263" s="634"/>
      <c r="W263" s="634"/>
      <c r="X263" s="747"/>
      <c r="Y263" s="747"/>
      <c r="Z263" s="747"/>
      <c r="AA263" s="747"/>
      <c r="AB263" s="747"/>
      <c r="AC263" s="747"/>
      <c r="AD263" s="747"/>
      <c r="AE263" s="583"/>
      <c r="AF263" s="583"/>
      <c r="AG263" s="583"/>
      <c r="AH263" s="583"/>
      <c r="AI263" s="761"/>
      <c r="AJ263" s="762"/>
      <c r="AK263" s="762"/>
      <c r="AL263" s="762"/>
      <c r="AM263" s="762"/>
      <c r="AN263" s="762"/>
      <c r="AO263" s="762"/>
      <c r="AP263" s="763"/>
      <c r="AR263" s="119"/>
      <c r="AS263" s="119"/>
    </row>
    <row r="264" spans="2:45" ht="27" customHeight="1" x14ac:dyDescent="0.4">
      <c r="B264" s="644" t="str">
        <f ca="1">DBCS(INDIRECT("U12対戦スケジュール!ｇ"&amp;(ROW())/2-AR$255))</f>
        <v>③</v>
      </c>
      <c r="C264" s="645">
        <f ca="1">INDIRECT("U12対戦スケジュール!ｈ"&amp;(ROW())/2-AR$255)</f>
        <v>0.45899999999999996</v>
      </c>
      <c r="D264" s="646"/>
      <c r="E264" s="647"/>
      <c r="F264" s="583"/>
      <c r="G264" s="583"/>
      <c r="H264" s="583"/>
      <c r="I264" s="583"/>
      <c r="J264" s="746" t="str">
        <f ca="1">VLOOKUP(AR264,U12組合せ!B$10:K$19,5,TRUE)</f>
        <v>宇都宮FCジュニア</v>
      </c>
      <c r="K264" s="747"/>
      <c r="L264" s="747"/>
      <c r="M264" s="747"/>
      <c r="N264" s="747"/>
      <c r="O264" s="747"/>
      <c r="P264" s="747"/>
      <c r="Q264" s="634">
        <f>IF(OR(S264="",S265=""),"",S264+S265)</f>
        <v>0</v>
      </c>
      <c r="R264" s="634"/>
      <c r="S264" s="100">
        <v>0</v>
      </c>
      <c r="T264" s="101" t="s">
        <v>7</v>
      </c>
      <c r="U264" s="100">
        <v>5</v>
      </c>
      <c r="V264" s="634">
        <f>IF(OR(U264="",U265=""),"",U264+U265)</f>
        <v>7</v>
      </c>
      <c r="W264" s="634"/>
      <c r="X264" s="746" t="str">
        <f ca="1">VLOOKUP(AS264,U12組合せ!B$10:K$19,5,TRUE)</f>
        <v>緑ヶ丘ＹＦＣ</v>
      </c>
      <c r="Y264" s="747"/>
      <c r="Z264" s="747"/>
      <c r="AA264" s="747"/>
      <c r="AB264" s="747"/>
      <c r="AC264" s="747"/>
      <c r="AD264" s="747"/>
      <c r="AE264" s="583"/>
      <c r="AF264" s="583"/>
      <c r="AG264" s="583"/>
      <c r="AH264" s="583"/>
      <c r="AI264" s="758" t="str">
        <f ca="1">DBCS(INDIRECT("U12対戦スケジュール!L"&amp;(ROW())/2-AR$255))</f>
        <v>Ｂ４／Ｃ８／Ａ４／Ｂ４</v>
      </c>
      <c r="AJ264" s="759"/>
      <c r="AK264" s="759"/>
      <c r="AL264" s="759"/>
      <c r="AM264" s="759"/>
      <c r="AN264" s="759"/>
      <c r="AO264" s="759"/>
      <c r="AP264" s="760"/>
      <c r="AR264" s="119">
        <f ca="1">INDIRECT("U12対戦スケジュール!I"&amp;(ROW())/2-AR$255)</f>
        <v>8</v>
      </c>
      <c r="AS264" s="119">
        <f ca="1">INDIRECT("U12対戦スケジュール!K"&amp;(ROW())/2-AR$255)</f>
        <v>3</v>
      </c>
    </row>
    <row r="265" spans="2:45" ht="27" customHeight="1" x14ac:dyDescent="0.4">
      <c r="B265" s="644"/>
      <c r="C265" s="648"/>
      <c r="D265" s="649"/>
      <c r="E265" s="650"/>
      <c r="F265" s="583"/>
      <c r="G265" s="583"/>
      <c r="H265" s="583"/>
      <c r="I265" s="583"/>
      <c r="J265" s="747"/>
      <c r="K265" s="747"/>
      <c r="L265" s="747"/>
      <c r="M265" s="747"/>
      <c r="N265" s="747"/>
      <c r="O265" s="747"/>
      <c r="P265" s="747"/>
      <c r="Q265" s="634"/>
      <c r="R265" s="634"/>
      <c r="S265" s="100">
        <v>0</v>
      </c>
      <c r="T265" s="101" t="s">
        <v>7</v>
      </c>
      <c r="U265" s="100">
        <v>2</v>
      </c>
      <c r="V265" s="634"/>
      <c r="W265" s="634"/>
      <c r="X265" s="747"/>
      <c r="Y265" s="747"/>
      <c r="Z265" s="747"/>
      <c r="AA265" s="747"/>
      <c r="AB265" s="747"/>
      <c r="AC265" s="747"/>
      <c r="AD265" s="747"/>
      <c r="AE265" s="583"/>
      <c r="AF265" s="583"/>
      <c r="AG265" s="583"/>
      <c r="AH265" s="583"/>
      <c r="AI265" s="761"/>
      <c r="AJ265" s="762"/>
      <c r="AK265" s="762"/>
      <c r="AL265" s="762"/>
      <c r="AM265" s="762"/>
      <c r="AN265" s="762"/>
      <c r="AO265" s="762"/>
      <c r="AP265" s="763"/>
      <c r="AR265" s="119"/>
      <c r="AS265" s="119"/>
    </row>
    <row r="266" spans="2:45" ht="27" customHeight="1" x14ac:dyDescent="0.4">
      <c r="B266" s="586"/>
      <c r="C266" s="739"/>
      <c r="D266" s="740"/>
      <c r="E266" s="741"/>
      <c r="F266" s="704"/>
      <c r="G266" s="704"/>
      <c r="H266" s="704"/>
      <c r="I266" s="704"/>
      <c r="J266" s="701"/>
      <c r="K266" s="702"/>
      <c r="L266" s="702"/>
      <c r="M266" s="702"/>
      <c r="N266" s="702"/>
      <c r="O266" s="702"/>
      <c r="P266" s="702"/>
      <c r="Q266" s="705"/>
      <c r="R266" s="705"/>
      <c r="S266" s="109"/>
      <c r="T266" s="110"/>
      <c r="U266" s="109"/>
      <c r="V266" s="705"/>
      <c r="W266" s="705"/>
      <c r="X266" s="701"/>
      <c r="Y266" s="702"/>
      <c r="Z266" s="702"/>
      <c r="AA266" s="702"/>
      <c r="AB266" s="702"/>
      <c r="AC266" s="702"/>
      <c r="AD266" s="702"/>
      <c r="AE266" s="704"/>
      <c r="AF266" s="704"/>
      <c r="AG266" s="704"/>
      <c r="AH266" s="704"/>
      <c r="AI266" s="706"/>
      <c r="AJ266" s="707"/>
      <c r="AK266" s="707"/>
      <c r="AL266" s="707"/>
      <c r="AM266" s="707"/>
      <c r="AN266" s="707"/>
      <c r="AO266" s="707"/>
      <c r="AP266" s="707"/>
      <c r="AR266" s="119"/>
      <c r="AS266" s="119"/>
    </row>
    <row r="267" spans="2:45" ht="27" customHeight="1" x14ac:dyDescent="0.4">
      <c r="B267" s="644"/>
      <c r="C267" s="648"/>
      <c r="D267" s="649"/>
      <c r="E267" s="650"/>
      <c r="F267" s="583"/>
      <c r="G267" s="583"/>
      <c r="H267" s="583"/>
      <c r="I267" s="583"/>
      <c r="J267" s="703"/>
      <c r="K267" s="703"/>
      <c r="L267" s="703"/>
      <c r="M267" s="703"/>
      <c r="N267" s="703"/>
      <c r="O267" s="703"/>
      <c r="P267" s="703"/>
      <c r="Q267" s="634"/>
      <c r="R267" s="634"/>
      <c r="S267" s="100"/>
      <c r="T267" s="101"/>
      <c r="U267" s="100"/>
      <c r="V267" s="634"/>
      <c r="W267" s="634"/>
      <c r="X267" s="703"/>
      <c r="Y267" s="703"/>
      <c r="Z267" s="703"/>
      <c r="AA267" s="703"/>
      <c r="AB267" s="703"/>
      <c r="AC267" s="703"/>
      <c r="AD267" s="703"/>
      <c r="AE267" s="583"/>
      <c r="AF267" s="583"/>
      <c r="AG267" s="583"/>
      <c r="AH267" s="583"/>
      <c r="AI267" s="708"/>
      <c r="AJ267" s="708"/>
      <c r="AK267" s="708"/>
      <c r="AL267" s="708"/>
      <c r="AM267" s="708"/>
      <c r="AN267" s="708"/>
      <c r="AO267" s="708"/>
      <c r="AP267" s="708"/>
      <c r="AR267" s="119"/>
      <c r="AS267" s="119"/>
    </row>
    <row r="268" spans="2:45" ht="27" customHeight="1" x14ac:dyDescent="0.4">
      <c r="B268" s="585"/>
      <c r="C268" s="587"/>
      <c r="D268" s="588"/>
      <c r="E268" s="589"/>
      <c r="F268" s="622"/>
      <c r="G268" s="623"/>
      <c r="H268" s="623"/>
      <c r="I268" s="624"/>
      <c r="J268" s="689"/>
      <c r="K268" s="690"/>
      <c r="L268" s="690"/>
      <c r="M268" s="690"/>
      <c r="N268" s="690"/>
      <c r="O268" s="690"/>
      <c r="P268" s="691"/>
      <c r="Q268" s="628"/>
      <c r="R268" s="630"/>
      <c r="S268" s="100"/>
      <c r="T268" s="101"/>
      <c r="U268" s="100"/>
      <c r="V268" s="628"/>
      <c r="W268" s="630"/>
      <c r="X268" s="695"/>
      <c r="Y268" s="696"/>
      <c r="Z268" s="696"/>
      <c r="AA268" s="696"/>
      <c r="AB268" s="696"/>
      <c r="AC268" s="696"/>
      <c r="AD268" s="697"/>
      <c r="AE268" s="622"/>
      <c r="AF268" s="623"/>
      <c r="AG268" s="623"/>
      <c r="AH268" s="624"/>
      <c r="AI268" s="628"/>
      <c r="AJ268" s="629"/>
      <c r="AK268" s="629"/>
      <c r="AL268" s="629"/>
      <c r="AM268" s="629"/>
      <c r="AN268" s="629"/>
      <c r="AO268" s="629"/>
      <c r="AP268" s="630"/>
    </row>
    <row r="269" spans="2:45" ht="27" customHeight="1" x14ac:dyDescent="0.4">
      <c r="B269" s="586"/>
      <c r="C269" s="590"/>
      <c r="D269" s="591"/>
      <c r="E269" s="592"/>
      <c r="F269" s="625"/>
      <c r="G269" s="626"/>
      <c r="H269" s="626"/>
      <c r="I269" s="627"/>
      <c r="J269" s="692"/>
      <c r="K269" s="693"/>
      <c r="L269" s="693"/>
      <c r="M269" s="693"/>
      <c r="N269" s="693"/>
      <c r="O269" s="693"/>
      <c r="P269" s="694"/>
      <c r="Q269" s="631"/>
      <c r="R269" s="633"/>
      <c r="S269" s="100"/>
      <c r="T269" s="101"/>
      <c r="U269" s="100"/>
      <c r="V269" s="631"/>
      <c r="W269" s="633"/>
      <c r="X269" s="698"/>
      <c r="Y269" s="699"/>
      <c r="Z269" s="699"/>
      <c r="AA269" s="699"/>
      <c r="AB269" s="699"/>
      <c r="AC269" s="699"/>
      <c r="AD269" s="700"/>
      <c r="AE269" s="625"/>
      <c r="AF269" s="626"/>
      <c r="AG269" s="626"/>
      <c r="AH269" s="627"/>
      <c r="AI269" s="631"/>
      <c r="AJ269" s="632"/>
      <c r="AK269" s="632"/>
      <c r="AL269" s="632"/>
      <c r="AM269" s="632"/>
      <c r="AN269" s="632"/>
      <c r="AO269" s="632"/>
      <c r="AP269" s="633"/>
    </row>
    <row r="270" spans="2:45" ht="27" customHeight="1" x14ac:dyDescent="0.4">
      <c r="B270" s="585"/>
      <c r="C270" s="587"/>
      <c r="D270" s="588"/>
      <c r="E270" s="589"/>
      <c r="F270" s="622"/>
      <c r="G270" s="623"/>
      <c r="H270" s="623"/>
      <c r="I270" s="624"/>
      <c r="J270" s="689"/>
      <c r="K270" s="690"/>
      <c r="L270" s="690"/>
      <c r="M270" s="690"/>
      <c r="N270" s="690"/>
      <c r="O270" s="690"/>
      <c r="P270" s="691"/>
      <c r="Q270" s="628"/>
      <c r="R270" s="630"/>
      <c r="S270" s="100"/>
      <c r="T270" s="101"/>
      <c r="U270" s="100"/>
      <c r="V270" s="628"/>
      <c r="W270" s="630"/>
      <c r="X270" s="695"/>
      <c r="Y270" s="696"/>
      <c r="Z270" s="696"/>
      <c r="AA270" s="696"/>
      <c r="AB270" s="696"/>
      <c r="AC270" s="696"/>
      <c r="AD270" s="697"/>
      <c r="AE270" s="622"/>
      <c r="AF270" s="623"/>
      <c r="AG270" s="623"/>
      <c r="AH270" s="624"/>
      <c r="AI270" s="628"/>
      <c r="AJ270" s="629"/>
      <c r="AK270" s="629"/>
      <c r="AL270" s="629"/>
      <c r="AM270" s="629"/>
      <c r="AN270" s="629"/>
      <c r="AO270" s="629"/>
      <c r="AP270" s="630"/>
    </row>
    <row r="271" spans="2:45" ht="27" customHeight="1" x14ac:dyDescent="0.4">
      <c r="B271" s="586"/>
      <c r="C271" s="590"/>
      <c r="D271" s="591"/>
      <c r="E271" s="592"/>
      <c r="F271" s="625"/>
      <c r="G271" s="626"/>
      <c r="H271" s="626"/>
      <c r="I271" s="627"/>
      <c r="J271" s="692"/>
      <c r="K271" s="693"/>
      <c r="L271" s="693"/>
      <c r="M271" s="693"/>
      <c r="N271" s="693"/>
      <c r="O271" s="693"/>
      <c r="P271" s="694"/>
      <c r="Q271" s="631"/>
      <c r="R271" s="633"/>
      <c r="S271" s="100"/>
      <c r="T271" s="101"/>
      <c r="U271" s="100"/>
      <c r="V271" s="631"/>
      <c r="W271" s="633"/>
      <c r="X271" s="698"/>
      <c r="Y271" s="699"/>
      <c r="Z271" s="699"/>
      <c r="AA271" s="699"/>
      <c r="AB271" s="699"/>
      <c r="AC271" s="699"/>
      <c r="AD271" s="700"/>
      <c r="AE271" s="625"/>
      <c r="AF271" s="626"/>
      <c r="AG271" s="626"/>
      <c r="AH271" s="627"/>
      <c r="AI271" s="631"/>
      <c r="AJ271" s="632"/>
      <c r="AK271" s="632"/>
      <c r="AL271" s="632"/>
      <c r="AM271" s="632"/>
      <c r="AN271" s="632"/>
      <c r="AO271" s="632"/>
      <c r="AP271" s="633"/>
    </row>
    <row r="272" spans="2:45" ht="27" customHeight="1" x14ac:dyDescent="0.4">
      <c r="B272" s="585"/>
      <c r="C272" s="587"/>
      <c r="D272" s="588"/>
      <c r="E272" s="589"/>
      <c r="F272" s="622"/>
      <c r="G272" s="623"/>
      <c r="H272" s="623"/>
      <c r="I272" s="624"/>
      <c r="J272" s="689"/>
      <c r="K272" s="690"/>
      <c r="L272" s="690"/>
      <c r="M272" s="690"/>
      <c r="N272" s="690"/>
      <c r="O272" s="690"/>
      <c r="P272" s="691"/>
      <c r="Q272" s="628"/>
      <c r="R272" s="630"/>
      <c r="S272" s="100"/>
      <c r="T272" s="101"/>
      <c r="U272" s="100"/>
      <c r="V272" s="628"/>
      <c r="W272" s="630"/>
      <c r="X272" s="695"/>
      <c r="Y272" s="696"/>
      <c r="Z272" s="696"/>
      <c r="AA272" s="696"/>
      <c r="AB272" s="696"/>
      <c r="AC272" s="696"/>
      <c r="AD272" s="697"/>
      <c r="AE272" s="622"/>
      <c r="AF272" s="623"/>
      <c r="AG272" s="623"/>
      <c r="AH272" s="624"/>
      <c r="AI272" s="628"/>
      <c r="AJ272" s="629"/>
      <c r="AK272" s="629"/>
      <c r="AL272" s="629"/>
      <c r="AM272" s="629"/>
      <c r="AN272" s="629"/>
      <c r="AO272" s="629"/>
      <c r="AP272" s="630"/>
    </row>
    <row r="273" spans="1:44" ht="27" customHeight="1" x14ac:dyDescent="0.4">
      <c r="B273" s="586"/>
      <c r="C273" s="590"/>
      <c r="D273" s="591"/>
      <c r="E273" s="592"/>
      <c r="F273" s="625"/>
      <c r="G273" s="626"/>
      <c r="H273" s="626"/>
      <c r="I273" s="627"/>
      <c r="J273" s="692"/>
      <c r="K273" s="693"/>
      <c r="L273" s="693"/>
      <c r="M273" s="693"/>
      <c r="N273" s="693"/>
      <c r="O273" s="693"/>
      <c r="P273" s="694"/>
      <c r="Q273" s="631"/>
      <c r="R273" s="633"/>
      <c r="S273" s="100"/>
      <c r="T273" s="101"/>
      <c r="U273" s="100"/>
      <c r="V273" s="631"/>
      <c r="W273" s="633"/>
      <c r="X273" s="698"/>
      <c r="Y273" s="699"/>
      <c r="Z273" s="699"/>
      <c r="AA273" s="699"/>
      <c r="AB273" s="699"/>
      <c r="AC273" s="699"/>
      <c r="AD273" s="700"/>
      <c r="AE273" s="625"/>
      <c r="AF273" s="626"/>
      <c r="AG273" s="626"/>
      <c r="AH273" s="627"/>
      <c r="AI273" s="631"/>
      <c r="AJ273" s="632"/>
      <c r="AK273" s="632"/>
      <c r="AL273" s="632"/>
      <c r="AM273" s="632"/>
      <c r="AN273" s="632"/>
      <c r="AO273" s="632"/>
      <c r="AP273" s="633"/>
    </row>
    <row r="274" spans="1:44" ht="27" customHeight="1" thickBot="1" x14ac:dyDescent="0.45">
      <c r="A274" s="102"/>
      <c r="B274" s="103"/>
      <c r="C274" s="104"/>
      <c r="D274" s="104"/>
      <c r="E274" s="104"/>
      <c r="F274" s="103"/>
      <c r="G274" s="103"/>
      <c r="H274" s="103"/>
      <c r="I274" s="103"/>
      <c r="J274" s="103"/>
      <c r="K274" s="105"/>
      <c r="L274" s="105"/>
      <c r="M274" s="106"/>
      <c r="N274" s="107"/>
      <c r="O274" s="106"/>
      <c r="P274" s="105"/>
      <c r="Q274" s="105"/>
      <c r="R274" s="103"/>
      <c r="S274" s="103"/>
      <c r="T274" s="103"/>
      <c r="U274" s="103"/>
      <c r="V274" s="103"/>
      <c r="W274" s="108"/>
      <c r="X274" s="108"/>
      <c r="Y274" s="108"/>
      <c r="Z274" s="108"/>
      <c r="AA274" s="108"/>
      <c r="AB274" s="108"/>
      <c r="AC274" s="102"/>
    </row>
    <row r="275" spans="1:44" ht="27" customHeight="1" thickBot="1" x14ac:dyDescent="0.45">
      <c r="D275" s="664" t="s">
        <v>8</v>
      </c>
      <c r="E275" s="665"/>
      <c r="F275" s="665"/>
      <c r="G275" s="665"/>
      <c r="H275" s="665"/>
      <c r="I275" s="666"/>
      <c r="J275" s="667" t="s">
        <v>5</v>
      </c>
      <c r="K275" s="665"/>
      <c r="L275" s="665"/>
      <c r="M275" s="665"/>
      <c r="N275" s="665"/>
      <c r="O275" s="665"/>
      <c r="P275" s="665"/>
      <c r="Q275" s="666"/>
      <c r="R275" s="668" t="s">
        <v>9</v>
      </c>
      <c r="S275" s="669"/>
      <c r="T275" s="669"/>
      <c r="U275" s="669"/>
      <c r="V275" s="669"/>
      <c r="W275" s="669"/>
      <c r="X275" s="669"/>
      <c r="Y275" s="669"/>
      <c r="Z275" s="670"/>
      <c r="AA275" s="609" t="s">
        <v>10</v>
      </c>
      <c r="AB275" s="610"/>
      <c r="AC275" s="671"/>
      <c r="AD275" s="609" t="s">
        <v>11</v>
      </c>
      <c r="AE275" s="610"/>
      <c r="AF275" s="610"/>
      <c r="AG275" s="610"/>
      <c r="AH275" s="610"/>
      <c r="AI275" s="610"/>
      <c r="AJ275" s="610"/>
      <c r="AK275" s="610"/>
      <c r="AL275" s="610"/>
      <c r="AM275" s="611"/>
    </row>
    <row r="276" spans="1:44" ht="27" customHeight="1" x14ac:dyDescent="0.4">
      <c r="D276" s="651" t="s">
        <v>298</v>
      </c>
      <c r="E276" s="652"/>
      <c r="F276" s="652"/>
      <c r="G276" s="652"/>
      <c r="H276" s="652"/>
      <c r="I276" s="653"/>
      <c r="J276" s="654"/>
      <c r="K276" s="652"/>
      <c r="L276" s="652"/>
      <c r="M276" s="652"/>
      <c r="N276" s="652"/>
      <c r="O276" s="652"/>
      <c r="P276" s="652"/>
      <c r="Q276" s="653"/>
      <c r="R276" s="655"/>
      <c r="S276" s="656"/>
      <c r="T276" s="656"/>
      <c r="U276" s="656"/>
      <c r="V276" s="656"/>
      <c r="W276" s="656"/>
      <c r="X276" s="656"/>
      <c r="Y276" s="656"/>
      <c r="Z276" s="657"/>
      <c r="AA276" s="658"/>
      <c r="AB276" s="659"/>
      <c r="AC276" s="660"/>
      <c r="AD276" s="661"/>
      <c r="AE276" s="662"/>
      <c r="AF276" s="662"/>
      <c r="AG276" s="662"/>
      <c r="AH276" s="662"/>
      <c r="AI276" s="662"/>
      <c r="AJ276" s="662"/>
      <c r="AK276" s="662"/>
      <c r="AL276" s="662"/>
      <c r="AM276" s="663"/>
    </row>
    <row r="277" spans="1:44" ht="27" customHeight="1" x14ac:dyDescent="0.4">
      <c r="D277" s="688" t="s">
        <v>12</v>
      </c>
      <c r="E277" s="604"/>
      <c r="F277" s="604"/>
      <c r="G277" s="604"/>
      <c r="H277" s="604"/>
      <c r="I277" s="605"/>
      <c r="J277" s="603"/>
      <c r="K277" s="604"/>
      <c r="L277" s="604"/>
      <c r="M277" s="604"/>
      <c r="N277" s="604"/>
      <c r="O277" s="604"/>
      <c r="P277" s="604"/>
      <c r="Q277" s="605"/>
      <c r="R277" s="606"/>
      <c r="S277" s="607"/>
      <c r="T277" s="607"/>
      <c r="U277" s="607"/>
      <c r="V277" s="607"/>
      <c r="W277" s="607"/>
      <c r="X277" s="607"/>
      <c r="Y277" s="607"/>
      <c r="Z277" s="608"/>
      <c r="AA277" s="606"/>
      <c r="AB277" s="607"/>
      <c r="AC277" s="608"/>
      <c r="AD277" s="672"/>
      <c r="AE277" s="673"/>
      <c r="AF277" s="673"/>
      <c r="AG277" s="673"/>
      <c r="AH277" s="673"/>
      <c r="AI277" s="673"/>
      <c r="AJ277" s="673"/>
      <c r="AK277" s="673"/>
      <c r="AL277" s="673"/>
      <c r="AM277" s="674"/>
    </row>
    <row r="278" spans="1:44" ht="27" customHeight="1" thickBot="1" x14ac:dyDescent="0.45">
      <c r="D278" s="675" t="s">
        <v>12</v>
      </c>
      <c r="E278" s="676"/>
      <c r="F278" s="676"/>
      <c r="G278" s="676"/>
      <c r="H278" s="676"/>
      <c r="I278" s="677"/>
      <c r="J278" s="678"/>
      <c r="K278" s="676"/>
      <c r="L278" s="676"/>
      <c r="M278" s="676"/>
      <c r="N278" s="676"/>
      <c r="O278" s="676"/>
      <c r="P278" s="676"/>
      <c r="Q278" s="677"/>
      <c r="R278" s="679"/>
      <c r="S278" s="680"/>
      <c r="T278" s="680"/>
      <c r="U278" s="680"/>
      <c r="V278" s="680"/>
      <c r="W278" s="680"/>
      <c r="X278" s="680"/>
      <c r="Y278" s="680"/>
      <c r="Z278" s="681"/>
      <c r="AA278" s="682"/>
      <c r="AB278" s="683"/>
      <c r="AC278" s="684"/>
      <c r="AD278" s="685"/>
      <c r="AE278" s="686"/>
      <c r="AF278" s="686"/>
      <c r="AG278" s="686"/>
      <c r="AH278" s="686"/>
      <c r="AI278" s="686"/>
      <c r="AJ278" s="686"/>
      <c r="AK278" s="686"/>
      <c r="AL278" s="686"/>
      <c r="AM278" s="687"/>
    </row>
    <row r="280" spans="1:44" ht="27" customHeight="1" x14ac:dyDescent="0.4">
      <c r="A280" s="115"/>
      <c r="B280" s="599" t="str">
        <f>U12組合せ!$B$1</f>
        <v>ＪＦＡ　Ｕ-１２サッカーリーグ2021（in栃木） 宇都宮地区リーグ戦（前期）</v>
      </c>
      <c r="C280" s="599"/>
      <c r="D280" s="599"/>
      <c r="E280" s="599"/>
      <c r="F280" s="599"/>
      <c r="G280" s="599"/>
      <c r="H280" s="599"/>
      <c r="I280" s="599"/>
      <c r="J280" s="599"/>
      <c r="K280" s="599"/>
      <c r="L280" s="599"/>
      <c r="M280" s="599"/>
      <c r="N280" s="599"/>
      <c r="O280" s="599"/>
      <c r="P280" s="599"/>
      <c r="Q280" s="599"/>
      <c r="R280" s="599"/>
      <c r="S280" s="599"/>
      <c r="T280" s="599"/>
      <c r="U280" s="599"/>
      <c r="V280" s="599"/>
      <c r="W280" s="599"/>
      <c r="X280" s="599"/>
      <c r="Y280" s="599"/>
      <c r="Z280" s="599"/>
      <c r="AA280" s="599"/>
      <c r="AB280" s="599"/>
      <c r="AC280" s="612" t="str">
        <f>"【"&amp;(U12組合せ!$F$3)&amp;"】"</f>
        <v>【Ｂ ブロック】</v>
      </c>
      <c r="AD280" s="612"/>
      <c r="AE280" s="612"/>
      <c r="AF280" s="612"/>
      <c r="AG280" s="612"/>
      <c r="AH280" s="612"/>
      <c r="AI280" s="612"/>
      <c r="AJ280" s="612"/>
      <c r="AK280" s="602" t="str">
        <f>"第"&amp;(U12組合せ!$D$39)</f>
        <v>第４節</v>
      </c>
      <c r="AL280" s="602"/>
      <c r="AM280" s="602"/>
      <c r="AN280" s="602"/>
      <c r="AO280" s="602"/>
      <c r="AP280" s="597" t="s">
        <v>299</v>
      </c>
      <c r="AQ280" s="598"/>
    </row>
    <row r="281" spans="1:44" ht="27" customHeight="1" x14ac:dyDescent="0.4">
      <c r="A281" s="115"/>
      <c r="B281" s="599"/>
      <c r="C281" s="599"/>
      <c r="D281" s="599"/>
      <c r="E281" s="599"/>
      <c r="F281" s="599"/>
      <c r="G281" s="599"/>
      <c r="H281" s="599"/>
      <c r="I281" s="599"/>
      <c r="J281" s="599"/>
      <c r="K281" s="599"/>
      <c r="L281" s="599"/>
      <c r="M281" s="599"/>
      <c r="N281" s="599"/>
      <c r="O281" s="599"/>
      <c r="P281" s="599"/>
      <c r="Q281" s="599"/>
      <c r="R281" s="599"/>
      <c r="S281" s="599"/>
      <c r="T281" s="599"/>
      <c r="U281" s="599"/>
      <c r="V281" s="599"/>
      <c r="W281" s="599"/>
      <c r="X281" s="599"/>
      <c r="Y281" s="599"/>
      <c r="Z281" s="599"/>
      <c r="AA281" s="599"/>
      <c r="AB281" s="599"/>
      <c r="AC281" s="601"/>
      <c r="AD281" s="601"/>
      <c r="AE281" s="601"/>
      <c r="AF281" s="601"/>
      <c r="AG281" s="601"/>
      <c r="AH281" s="601"/>
      <c r="AI281" s="601"/>
      <c r="AJ281" s="601"/>
      <c r="AK281" s="601"/>
      <c r="AL281" s="601"/>
      <c r="AM281" s="601"/>
      <c r="AN281" s="601"/>
      <c r="AO281" s="612"/>
      <c r="AP281" s="598"/>
      <c r="AQ281" s="598"/>
    </row>
    <row r="282" spans="1:44" ht="27" customHeight="1" x14ac:dyDescent="0.4">
      <c r="C282" s="635" t="s">
        <v>1</v>
      </c>
      <c r="D282" s="635"/>
      <c r="E282" s="635"/>
      <c r="F282" s="635"/>
      <c r="G282" s="725" t="str">
        <f>U12対戦スケジュール!I80</f>
        <v>平出南 AM</v>
      </c>
      <c r="H282" s="726"/>
      <c r="I282" s="726"/>
      <c r="J282" s="726"/>
      <c r="K282" s="726"/>
      <c r="L282" s="726"/>
      <c r="M282" s="726"/>
      <c r="N282" s="726"/>
      <c r="O282" s="727"/>
      <c r="P282" s="635" t="s">
        <v>0</v>
      </c>
      <c r="Q282" s="635"/>
      <c r="R282" s="635"/>
      <c r="S282" s="635"/>
      <c r="T282" s="636" t="str">
        <f>S285</f>
        <v>FCグラシアス</v>
      </c>
      <c r="U282" s="636"/>
      <c r="V282" s="636"/>
      <c r="W282" s="636"/>
      <c r="X282" s="636"/>
      <c r="Y282" s="636"/>
      <c r="Z282" s="636"/>
      <c r="AA282" s="636"/>
      <c r="AB282" s="636"/>
      <c r="AC282" s="635" t="s">
        <v>2</v>
      </c>
      <c r="AD282" s="635"/>
      <c r="AE282" s="635"/>
      <c r="AF282" s="635"/>
      <c r="AG282" s="618">
        <f>U12組合せ!B$39</f>
        <v>44353</v>
      </c>
      <c r="AH282" s="619"/>
      <c r="AI282" s="619"/>
      <c r="AJ282" s="619"/>
      <c r="AK282" s="619"/>
      <c r="AL282" s="619"/>
      <c r="AM282" s="620" t="str">
        <f>"（"&amp;TEXT(AG282,"aaa")&amp;"）"</f>
        <v>（日）</v>
      </c>
      <c r="AN282" s="620"/>
      <c r="AO282" s="621"/>
      <c r="AP282" s="116"/>
    </row>
    <row r="283" spans="1:44" ht="27" customHeight="1" x14ac:dyDescent="0.4">
      <c r="C283" s="96" t="str">
        <f>U12組合せ!G40</f>
        <v>B168</v>
      </c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95"/>
      <c r="X283" s="95"/>
      <c r="Y283" s="95"/>
      <c r="Z283" s="95"/>
      <c r="AA283" s="95"/>
      <c r="AB283" s="95"/>
      <c r="AC283" s="95"/>
    </row>
    <row r="284" spans="1:44" ht="27" customHeight="1" x14ac:dyDescent="0.4">
      <c r="C284" s="636">
        <v>1</v>
      </c>
      <c r="D284" s="636"/>
      <c r="E284" s="709" t="str">
        <f>VLOOKUP(C284,U12組合せ!B$10:K$19,5,TRUE)</f>
        <v>スポルト宇都宮U12</v>
      </c>
      <c r="F284" s="709"/>
      <c r="G284" s="709"/>
      <c r="H284" s="709"/>
      <c r="I284" s="709"/>
      <c r="J284" s="709"/>
      <c r="K284" s="709"/>
      <c r="L284" s="709"/>
      <c r="M284" s="709"/>
      <c r="N284" s="709"/>
      <c r="O284" s="94"/>
      <c r="P284" s="94"/>
      <c r="Q284" s="637">
        <v>5</v>
      </c>
      <c r="R284" s="637"/>
      <c r="S284" s="584" t="str">
        <f>VLOOKUP(Q284,U12組合せ!B$10:K$19,5,TRUE)</f>
        <v>岡西FC</v>
      </c>
      <c r="T284" s="584"/>
      <c r="U284" s="584"/>
      <c r="V284" s="584"/>
      <c r="W284" s="584"/>
      <c r="X284" s="584"/>
      <c r="Y284" s="584"/>
      <c r="Z284" s="584"/>
      <c r="AA284" s="584"/>
      <c r="AB284" s="584"/>
      <c r="AC284" s="92"/>
      <c r="AD284" s="93"/>
      <c r="AE284" s="637">
        <v>9</v>
      </c>
      <c r="AF284" s="637"/>
      <c r="AG284" s="584" t="str">
        <f>VLOOKUP(AE284,U12組合せ!B$10:'U12組合せ'!K$19,5,TRUE)</f>
        <v>サウス宇都宮SC</v>
      </c>
      <c r="AH284" s="584"/>
      <c r="AI284" s="584"/>
      <c r="AJ284" s="584"/>
      <c r="AK284" s="584"/>
      <c r="AL284" s="584"/>
      <c r="AM284" s="584"/>
      <c r="AN284" s="584"/>
      <c r="AO284" s="584"/>
      <c r="AP284" s="584"/>
      <c r="AR284" s="96">
        <f>290/2</f>
        <v>145</v>
      </c>
    </row>
    <row r="285" spans="1:44" ht="27" customHeight="1" x14ac:dyDescent="0.4">
      <c r="C285" s="637">
        <v>2</v>
      </c>
      <c r="D285" s="637"/>
      <c r="E285" s="584" t="str">
        <f>VLOOKUP(C285,U12組合せ!B$10:K$19,5,TRUE)</f>
        <v>ウエストフットコム</v>
      </c>
      <c r="F285" s="584"/>
      <c r="G285" s="584"/>
      <c r="H285" s="584"/>
      <c r="I285" s="584"/>
      <c r="J285" s="584"/>
      <c r="K285" s="584"/>
      <c r="L285" s="584"/>
      <c r="M285" s="584"/>
      <c r="N285" s="584"/>
      <c r="O285" s="94"/>
      <c r="P285" s="94"/>
      <c r="Q285" s="636">
        <v>6</v>
      </c>
      <c r="R285" s="636"/>
      <c r="S285" s="709" t="str">
        <f>VLOOKUP(Q285,U12組合せ!B$10:K$19,5,TRUE)</f>
        <v>FCグラシアス</v>
      </c>
      <c r="T285" s="709"/>
      <c r="U285" s="709"/>
      <c r="V285" s="709"/>
      <c r="W285" s="709"/>
      <c r="X285" s="709"/>
      <c r="Y285" s="709"/>
      <c r="Z285" s="709"/>
      <c r="AA285" s="709"/>
      <c r="AB285" s="709"/>
      <c r="AC285" s="92"/>
      <c r="AD285" s="93"/>
      <c r="AE285" s="710" t="s">
        <v>486</v>
      </c>
      <c r="AF285" s="710"/>
      <c r="AG285" s="638" t="str">
        <f>U12組合せ!D11</f>
        <v>石井ＦＣ</v>
      </c>
      <c r="AH285" s="638"/>
      <c r="AI285" s="638"/>
      <c r="AJ285" s="638"/>
      <c r="AK285" s="638"/>
      <c r="AL285" s="638"/>
      <c r="AM285" s="638"/>
      <c r="AN285" s="638"/>
      <c r="AO285" s="638"/>
      <c r="AP285" s="638"/>
      <c r="AR285" s="96">
        <v>82</v>
      </c>
    </row>
    <row r="286" spans="1:44" ht="27" customHeight="1" x14ac:dyDescent="0.4">
      <c r="C286" s="637">
        <v>3</v>
      </c>
      <c r="D286" s="637"/>
      <c r="E286" s="584" t="str">
        <f>VLOOKUP(C286,U12組合せ!B$10:K$19,5,TRUE)</f>
        <v>緑ヶ丘ＹＦＣ</v>
      </c>
      <c r="F286" s="584"/>
      <c r="G286" s="584"/>
      <c r="H286" s="584"/>
      <c r="I286" s="584"/>
      <c r="J286" s="584"/>
      <c r="K286" s="584"/>
      <c r="L286" s="584"/>
      <c r="M286" s="584"/>
      <c r="N286" s="584"/>
      <c r="O286" s="94"/>
      <c r="P286" s="94"/>
      <c r="Q286" s="637">
        <v>7</v>
      </c>
      <c r="R286" s="637"/>
      <c r="S286" s="584" t="str">
        <f>VLOOKUP(Q286,U12組合せ!B$10:K$19,5,TRUE)</f>
        <v>上三川SC</v>
      </c>
      <c r="T286" s="584"/>
      <c r="U286" s="584"/>
      <c r="V286" s="584"/>
      <c r="W286" s="584"/>
      <c r="X286" s="584"/>
      <c r="Y286" s="584"/>
      <c r="Z286" s="584"/>
      <c r="AA286" s="584"/>
      <c r="AB286" s="584"/>
      <c r="AC286" s="92"/>
      <c r="AD286" s="93"/>
      <c r="AE286" s="710" t="s">
        <v>490</v>
      </c>
      <c r="AF286" s="710"/>
      <c r="AG286" s="638" t="str">
        <f>U12組合せ!D13</f>
        <v>ＳＵＧＡＯ・ＳＣ</v>
      </c>
      <c r="AH286" s="638"/>
      <c r="AI286" s="638"/>
      <c r="AJ286" s="638"/>
      <c r="AK286" s="638"/>
      <c r="AL286" s="638"/>
      <c r="AM286" s="638"/>
      <c r="AN286" s="638"/>
      <c r="AO286" s="638"/>
      <c r="AP286" s="638"/>
      <c r="AR286" s="96">
        <f>AR284-AR285</f>
        <v>63</v>
      </c>
    </row>
    <row r="287" spans="1:44" ht="32.25" customHeight="1" x14ac:dyDescent="0.4">
      <c r="B287" s="102"/>
      <c r="C287" s="637">
        <v>4</v>
      </c>
      <c r="D287" s="637"/>
      <c r="E287" s="584" t="str">
        <f>VLOOKUP(C287,U12組合せ!B$10:K$19,5,TRUE)</f>
        <v>昭和・戸祭SC</v>
      </c>
      <c r="F287" s="584"/>
      <c r="G287" s="584"/>
      <c r="H287" s="584"/>
      <c r="I287" s="584"/>
      <c r="J287" s="584"/>
      <c r="K287" s="584"/>
      <c r="L287" s="584"/>
      <c r="M287" s="584"/>
      <c r="N287" s="584"/>
      <c r="O287" s="102"/>
      <c r="P287" s="102"/>
      <c r="Q287" s="636">
        <v>8</v>
      </c>
      <c r="R287" s="636"/>
      <c r="S287" s="709" t="str">
        <f>VLOOKUP(Q287,U12組合せ!B$10:'U12組合せ'!K$19,5,TRUE)</f>
        <v>宇都宮FCジュニア</v>
      </c>
      <c r="T287" s="709"/>
      <c r="U287" s="709"/>
      <c r="V287" s="709"/>
      <c r="W287" s="709"/>
      <c r="X287" s="709"/>
      <c r="Y287" s="709"/>
      <c r="Z287" s="709"/>
      <c r="AA287" s="709"/>
      <c r="AB287" s="709"/>
      <c r="AC287" s="95"/>
      <c r="AD287" s="102"/>
      <c r="AE287" s="710" t="s">
        <v>502</v>
      </c>
      <c r="AF287" s="710"/>
      <c r="AG287" s="638" t="str">
        <f>U12組合せ!D19</f>
        <v>FCアネーロ・U-12</v>
      </c>
      <c r="AH287" s="638"/>
      <c r="AI287" s="638"/>
      <c r="AJ287" s="638"/>
      <c r="AK287" s="638"/>
      <c r="AL287" s="638"/>
      <c r="AM287" s="638"/>
      <c r="AN287" s="638"/>
      <c r="AO287" s="638"/>
      <c r="AP287" s="638"/>
    </row>
    <row r="288" spans="1:44" s="396" customFormat="1" ht="49.5" customHeight="1" x14ac:dyDescent="0.25">
      <c r="B288" s="397" t="str">
        <f ca="1">IF(B290="①","【監督会議 8：20～】","【監督会議 12：50～】")</f>
        <v>【監督会議 8：20～】</v>
      </c>
      <c r="I288" s="396" t="s">
        <v>330</v>
      </c>
    </row>
    <row r="289" spans="1:45" ht="27" customHeight="1" x14ac:dyDescent="0.4">
      <c r="B289" s="97"/>
      <c r="C289" s="711" t="s">
        <v>3</v>
      </c>
      <c r="D289" s="711"/>
      <c r="E289" s="711"/>
      <c r="F289" s="712" t="s">
        <v>4</v>
      </c>
      <c r="G289" s="712"/>
      <c r="H289" s="712"/>
      <c r="I289" s="712"/>
      <c r="J289" s="711" t="s">
        <v>5</v>
      </c>
      <c r="K289" s="713"/>
      <c r="L289" s="713"/>
      <c r="M289" s="713"/>
      <c r="N289" s="713"/>
      <c r="O289" s="713"/>
      <c r="P289" s="713"/>
      <c r="Q289" s="711" t="s">
        <v>32</v>
      </c>
      <c r="R289" s="711"/>
      <c r="S289" s="711"/>
      <c r="T289" s="711"/>
      <c r="U289" s="711"/>
      <c r="V289" s="711"/>
      <c r="W289" s="711"/>
      <c r="X289" s="711" t="s">
        <v>5</v>
      </c>
      <c r="Y289" s="713"/>
      <c r="Z289" s="713"/>
      <c r="AA289" s="713"/>
      <c r="AB289" s="713"/>
      <c r="AC289" s="713"/>
      <c r="AD289" s="713"/>
      <c r="AE289" s="712" t="s">
        <v>4</v>
      </c>
      <c r="AF289" s="712"/>
      <c r="AG289" s="712"/>
      <c r="AH289" s="712"/>
      <c r="AI289" s="711" t="s">
        <v>6</v>
      </c>
      <c r="AJ289" s="711"/>
      <c r="AK289" s="713"/>
      <c r="AL289" s="713"/>
      <c r="AM289" s="713"/>
      <c r="AN289" s="713"/>
      <c r="AO289" s="713"/>
      <c r="AP289" s="713"/>
    </row>
    <row r="290" spans="1:45" ht="27" customHeight="1" x14ac:dyDescent="0.4">
      <c r="B290" s="644" t="str">
        <f ca="1">DBCS(INDIRECT("U12対戦スケジュール!ｇ"&amp;(ROW())/2-AR$286))</f>
        <v>①</v>
      </c>
      <c r="C290" s="645">
        <f ca="1">INDIRECT("U12対戦スケジュール!ｈ"&amp;(ROW())/2-AR$286)</f>
        <v>0.375</v>
      </c>
      <c r="D290" s="646"/>
      <c r="E290" s="647"/>
      <c r="F290" s="622"/>
      <c r="G290" s="623"/>
      <c r="H290" s="623"/>
      <c r="I290" s="624"/>
      <c r="J290" s="746" t="str">
        <f ca="1">VLOOKUP(AR290,U12組合せ!B$10:K$19,5,TRUE)</f>
        <v>スポルト宇都宮U12</v>
      </c>
      <c r="K290" s="747"/>
      <c r="L290" s="747"/>
      <c r="M290" s="747"/>
      <c r="N290" s="747"/>
      <c r="O290" s="747"/>
      <c r="P290" s="747"/>
      <c r="Q290" s="628" t="str">
        <f>IF(OR(S290="",S291=""),"",S290+S291)</f>
        <v/>
      </c>
      <c r="R290" s="630"/>
      <c r="S290" s="100"/>
      <c r="T290" s="101" t="s">
        <v>7</v>
      </c>
      <c r="U290" s="100"/>
      <c r="V290" s="628" t="str">
        <f>IF(OR(U290="",U291=""),"",U290+U291)</f>
        <v/>
      </c>
      <c r="W290" s="630"/>
      <c r="X290" s="746" t="str">
        <f ca="1">VLOOKUP(AS290,U12組合せ!B$10:K$19,5,TRUE)</f>
        <v>FCグラシアス</v>
      </c>
      <c r="Y290" s="747"/>
      <c r="Z290" s="747"/>
      <c r="AA290" s="747"/>
      <c r="AB290" s="747"/>
      <c r="AC290" s="747"/>
      <c r="AD290" s="747"/>
      <c r="AE290" s="622"/>
      <c r="AF290" s="623"/>
      <c r="AG290" s="623"/>
      <c r="AH290" s="624"/>
      <c r="AI290" s="758" t="str">
        <f ca="1">DBCS(VLOOKUP(B290,U12対戦スケジュール!G$82:L$86,6,TRUE))</f>
        <v>Ｂ８／Ａ２／Ａ１０／Ｂ８</v>
      </c>
      <c r="AJ290" s="759"/>
      <c r="AK290" s="759"/>
      <c r="AL290" s="759"/>
      <c r="AM290" s="759"/>
      <c r="AN290" s="759"/>
      <c r="AO290" s="759"/>
      <c r="AP290" s="760"/>
      <c r="AR290" s="119">
        <f ca="1">INDIRECT("U12対戦スケジュール!I"&amp;(ROW())/2-AR$286)</f>
        <v>1</v>
      </c>
      <c r="AS290" s="119">
        <f ca="1">INDIRECT("U12対戦スケジュール!K"&amp;(ROW())/2-AR$286)</f>
        <v>6</v>
      </c>
    </row>
    <row r="291" spans="1:45" ht="27" customHeight="1" x14ac:dyDescent="0.4">
      <c r="B291" s="644"/>
      <c r="C291" s="648"/>
      <c r="D291" s="649"/>
      <c r="E291" s="650"/>
      <c r="F291" s="625"/>
      <c r="G291" s="626"/>
      <c r="H291" s="626"/>
      <c r="I291" s="627"/>
      <c r="J291" s="747"/>
      <c r="K291" s="747"/>
      <c r="L291" s="747"/>
      <c r="M291" s="747"/>
      <c r="N291" s="747"/>
      <c r="O291" s="747"/>
      <c r="P291" s="747"/>
      <c r="Q291" s="631"/>
      <c r="R291" s="633"/>
      <c r="S291" s="100"/>
      <c r="T291" s="101" t="s">
        <v>7</v>
      </c>
      <c r="U291" s="100"/>
      <c r="V291" s="631"/>
      <c r="W291" s="633"/>
      <c r="X291" s="747"/>
      <c r="Y291" s="747"/>
      <c r="Z291" s="747"/>
      <c r="AA291" s="747"/>
      <c r="AB291" s="747"/>
      <c r="AC291" s="747"/>
      <c r="AD291" s="747"/>
      <c r="AE291" s="625"/>
      <c r="AF291" s="626"/>
      <c r="AG291" s="626"/>
      <c r="AH291" s="627"/>
      <c r="AI291" s="761"/>
      <c r="AJ291" s="762"/>
      <c r="AK291" s="762"/>
      <c r="AL291" s="762"/>
      <c r="AM291" s="762"/>
      <c r="AN291" s="762"/>
      <c r="AO291" s="762"/>
      <c r="AP291" s="763"/>
      <c r="AR291" s="119"/>
      <c r="AS291" s="119"/>
    </row>
    <row r="292" spans="1:45" ht="27" customHeight="1" x14ac:dyDescent="0.4">
      <c r="B292" s="644" t="str">
        <f ca="1">DBCS(INDIRECT("U12対戦スケジュール!ｇ"&amp;(ROW())/2-AR$286))</f>
        <v>②</v>
      </c>
      <c r="C292" s="645">
        <f ca="1">INDIRECT("U12対戦スケジュール!ｈ"&amp;(ROW())/2-AR$286)</f>
        <v>0.41699999999999998</v>
      </c>
      <c r="D292" s="646"/>
      <c r="E292" s="647"/>
      <c r="F292" s="583"/>
      <c r="G292" s="583"/>
      <c r="H292" s="583"/>
      <c r="I292" s="583"/>
      <c r="J292" s="746" t="str">
        <f ca="1">VLOOKUP(AR292,U12組合せ!B$10:K$19,5,TRUE)</f>
        <v>宇都宮FCジュニア</v>
      </c>
      <c r="K292" s="747"/>
      <c r="L292" s="747"/>
      <c r="M292" s="747"/>
      <c r="N292" s="747"/>
      <c r="O292" s="747"/>
      <c r="P292" s="747"/>
      <c r="Q292" s="635" t="str">
        <f>IF(OR(S292="",S293=""),"",S292+S293)</f>
        <v/>
      </c>
      <c r="R292" s="635"/>
      <c r="S292" s="98"/>
      <c r="T292" s="99" t="s">
        <v>7</v>
      </c>
      <c r="U292" s="98"/>
      <c r="V292" s="635" t="str">
        <f>IF(OR(U292="",U293=""),"",U292+U293)</f>
        <v/>
      </c>
      <c r="W292" s="635"/>
      <c r="X292" s="746" t="str">
        <f ca="1">VLOOKUP(AS292,U12組合せ!B$10:K$19,5,TRUE)</f>
        <v>FCグラシアス</v>
      </c>
      <c r="Y292" s="747"/>
      <c r="Z292" s="747"/>
      <c r="AA292" s="747"/>
      <c r="AB292" s="747"/>
      <c r="AC292" s="747"/>
      <c r="AD292" s="747"/>
      <c r="AE292" s="583"/>
      <c r="AF292" s="583"/>
      <c r="AG292" s="583"/>
      <c r="AH292" s="583"/>
      <c r="AI292" s="758" t="str">
        <f ca="1">DBCS(VLOOKUP(B292,U12対戦スケジュール!G$82:L$86,6,TRUE))</f>
        <v>Ｂ１／Ａ１０／Ａ４／Ｂ１</v>
      </c>
      <c r="AJ292" s="759"/>
      <c r="AK292" s="759"/>
      <c r="AL292" s="759"/>
      <c r="AM292" s="759"/>
      <c r="AN292" s="759"/>
      <c r="AO292" s="759"/>
      <c r="AP292" s="760"/>
      <c r="AR292" s="119">
        <f ca="1">INDIRECT("U12対戦スケジュール!I"&amp;(ROW())/2-AR$286)</f>
        <v>8</v>
      </c>
      <c r="AS292" s="119">
        <f ca="1">INDIRECT("U12対戦スケジュール!K"&amp;(ROW())/2-AR$286)</f>
        <v>6</v>
      </c>
    </row>
    <row r="293" spans="1:45" ht="27" customHeight="1" x14ac:dyDescent="0.4">
      <c r="B293" s="644"/>
      <c r="C293" s="648"/>
      <c r="D293" s="649"/>
      <c r="E293" s="650"/>
      <c r="F293" s="583"/>
      <c r="G293" s="583"/>
      <c r="H293" s="583"/>
      <c r="I293" s="583"/>
      <c r="J293" s="747"/>
      <c r="K293" s="747"/>
      <c r="L293" s="747"/>
      <c r="M293" s="747"/>
      <c r="N293" s="747"/>
      <c r="O293" s="747"/>
      <c r="P293" s="747"/>
      <c r="Q293" s="635"/>
      <c r="R293" s="635"/>
      <c r="S293" s="98"/>
      <c r="T293" s="99" t="s">
        <v>7</v>
      </c>
      <c r="U293" s="98"/>
      <c r="V293" s="635"/>
      <c r="W293" s="635"/>
      <c r="X293" s="747"/>
      <c r="Y293" s="747"/>
      <c r="Z293" s="747"/>
      <c r="AA293" s="747"/>
      <c r="AB293" s="747"/>
      <c r="AC293" s="747"/>
      <c r="AD293" s="747"/>
      <c r="AE293" s="583"/>
      <c r="AF293" s="583"/>
      <c r="AG293" s="583"/>
      <c r="AH293" s="583"/>
      <c r="AI293" s="761"/>
      <c r="AJ293" s="762"/>
      <c r="AK293" s="762"/>
      <c r="AL293" s="762"/>
      <c r="AM293" s="762"/>
      <c r="AN293" s="762"/>
      <c r="AO293" s="762"/>
      <c r="AP293" s="763"/>
      <c r="AR293" s="119"/>
      <c r="AS293" s="119"/>
    </row>
    <row r="294" spans="1:45" ht="27" customHeight="1" x14ac:dyDescent="0.4">
      <c r="B294" s="644" t="str">
        <f ca="1">DBCS(INDIRECT("U12対戦スケジュール!ｇ"&amp;(ROW())/2-AR$286))</f>
        <v>③</v>
      </c>
      <c r="C294" s="645">
        <f ca="1">INDIRECT("U12対戦スケジュール!ｈ"&amp;(ROW())/2-AR$286)</f>
        <v>0.45899999999999996</v>
      </c>
      <c r="D294" s="646"/>
      <c r="E294" s="647"/>
      <c r="F294" s="583"/>
      <c r="G294" s="583"/>
      <c r="H294" s="583"/>
      <c r="I294" s="583"/>
      <c r="J294" s="746" t="str">
        <f ca="1">VLOOKUP(AR294,U12組合せ!B$10:K$19,5,TRUE)</f>
        <v>宇都宮FCジュニア</v>
      </c>
      <c r="K294" s="747"/>
      <c r="L294" s="747"/>
      <c r="M294" s="747"/>
      <c r="N294" s="747"/>
      <c r="O294" s="747"/>
      <c r="P294" s="747"/>
      <c r="Q294" s="635" t="str">
        <f>IF(OR(S294="",S295=""),"",S294+S295)</f>
        <v/>
      </c>
      <c r="R294" s="635"/>
      <c r="S294" s="98"/>
      <c r="T294" s="99" t="s">
        <v>7</v>
      </c>
      <c r="U294" s="98"/>
      <c r="V294" s="635" t="str">
        <f>IF(OR(U294="",U295=""),"",U294+U295)</f>
        <v/>
      </c>
      <c r="W294" s="635"/>
      <c r="X294" s="746" t="str">
        <f ca="1">VLOOKUP(AS294,U12組合せ!B$10:K$19,5,TRUE)</f>
        <v>スポルト宇都宮U12</v>
      </c>
      <c r="Y294" s="747"/>
      <c r="Z294" s="747"/>
      <c r="AA294" s="747"/>
      <c r="AB294" s="747"/>
      <c r="AC294" s="747"/>
      <c r="AD294" s="747"/>
      <c r="AE294" s="583"/>
      <c r="AF294" s="583"/>
      <c r="AG294" s="583"/>
      <c r="AH294" s="583"/>
      <c r="AI294" s="758" t="str">
        <f ca="1">DBCS(VLOOKUP(B294,U12対戦スケジュール!G$82:L$86,6,TRUE))</f>
        <v>Ｂ６／Ａ４／Ａ１０／Ｂ６</v>
      </c>
      <c r="AJ294" s="759"/>
      <c r="AK294" s="759"/>
      <c r="AL294" s="759"/>
      <c r="AM294" s="759"/>
      <c r="AN294" s="759"/>
      <c r="AO294" s="759"/>
      <c r="AP294" s="760"/>
      <c r="AR294" s="119">
        <f ca="1">INDIRECT("U12対戦スケジュール!I"&amp;(ROW())/2-AR$286)</f>
        <v>8</v>
      </c>
      <c r="AS294" s="119">
        <f ca="1">INDIRECT("U12対戦スケジュール!K"&amp;(ROW())/2-AR$286)</f>
        <v>1</v>
      </c>
    </row>
    <row r="295" spans="1:45" ht="27" customHeight="1" x14ac:dyDescent="0.4">
      <c r="B295" s="644"/>
      <c r="C295" s="648"/>
      <c r="D295" s="649"/>
      <c r="E295" s="650"/>
      <c r="F295" s="583"/>
      <c r="G295" s="583"/>
      <c r="H295" s="583"/>
      <c r="I295" s="583"/>
      <c r="J295" s="747"/>
      <c r="K295" s="747"/>
      <c r="L295" s="747"/>
      <c r="M295" s="747"/>
      <c r="N295" s="747"/>
      <c r="O295" s="747"/>
      <c r="P295" s="747"/>
      <c r="Q295" s="635"/>
      <c r="R295" s="635"/>
      <c r="S295" s="98"/>
      <c r="T295" s="99" t="s">
        <v>7</v>
      </c>
      <c r="U295" s="98"/>
      <c r="V295" s="635"/>
      <c r="W295" s="635"/>
      <c r="X295" s="747"/>
      <c r="Y295" s="747"/>
      <c r="Z295" s="747"/>
      <c r="AA295" s="747"/>
      <c r="AB295" s="747"/>
      <c r="AC295" s="747"/>
      <c r="AD295" s="747"/>
      <c r="AE295" s="583"/>
      <c r="AF295" s="583"/>
      <c r="AG295" s="583"/>
      <c r="AH295" s="583"/>
      <c r="AI295" s="761"/>
      <c r="AJ295" s="762"/>
      <c r="AK295" s="762"/>
      <c r="AL295" s="762"/>
      <c r="AM295" s="762"/>
      <c r="AN295" s="762"/>
      <c r="AO295" s="762"/>
      <c r="AP295" s="763"/>
      <c r="AR295" s="119"/>
      <c r="AS295" s="119"/>
    </row>
    <row r="296" spans="1:45" ht="27" customHeight="1" x14ac:dyDescent="0.4">
      <c r="B296" s="644"/>
      <c r="C296" s="645"/>
      <c r="D296" s="646"/>
      <c r="E296" s="647"/>
      <c r="F296" s="583"/>
      <c r="G296" s="583"/>
      <c r="H296" s="583"/>
      <c r="I296" s="583"/>
      <c r="J296" s="720"/>
      <c r="K296" s="703"/>
      <c r="L296" s="703"/>
      <c r="M296" s="703"/>
      <c r="N296" s="703"/>
      <c r="O296" s="703"/>
      <c r="P296" s="703"/>
      <c r="Q296" s="634"/>
      <c r="R296" s="634"/>
      <c r="S296" s="100"/>
      <c r="T296" s="101"/>
      <c r="U296" s="100"/>
      <c r="V296" s="634"/>
      <c r="W296" s="634"/>
      <c r="X296" s="720"/>
      <c r="Y296" s="703"/>
      <c r="Z296" s="703"/>
      <c r="AA296" s="703"/>
      <c r="AB296" s="703"/>
      <c r="AC296" s="703"/>
      <c r="AD296" s="703"/>
      <c r="AE296" s="583"/>
      <c r="AF296" s="583"/>
      <c r="AG296" s="583"/>
      <c r="AH296" s="583"/>
      <c r="AI296" s="634"/>
      <c r="AJ296" s="583"/>
      <c r="AK296" s="583"/>
      <c r="AL296" s="583"/>
      <c r="AM296" s="583"/>
      <c r="AN296" s="583"/>
      <c r="AO296" s="583"/>
      <c r="AP296" s="583"/>
      <c r="AR296" s="119"/>
      <c r="AS296" s="119"/>
    </row>
    <row r="297" spans="1:45" ht="27" customHeight="1" x14ac:dyDescent="0.4">
      <c r="B297" s="644"/>
      <c r="C297" s="648"/>
      <c r="D297" s="649"/>
      <c r="E297" s="650"/>
      <c r="F297" s="583"/>
      <c r="G297" s="583"/>
      <c r="H297" s="583"/>
      <c r="I297" s="583"/>
      <c r="J297" s="703"/>
      <c r="K297" s="703"/>
      <c r="L297" s="703"/>
      <c r="M297" s="703"/>
      <c r="N297" s="703"/>
      <c r="O297" s="703"/>
      <c r="P297" s="703"/>
      <c r="Q297" s="634"/>
      <c r="R297" s="634"/>
      <c r="S297" s="100"/>
      <c r="T297" s="101"/>
      <c r="U297" s="100"/>
      <c r="V297" s="634"/>
      <c r="W297" s="634"/>
      <c r="X297" s="703"/>
      <c r="Y297" s="703"/>
      <c r="Z297" s="703"/>
      <c r="AA297" s="703"/>
      <c r="AB297" s="703"/>
      <c r="AC297" s="703"/>
      <c r="AD297" s="703"/>
      <c r="AE297" s="583"/>
      <c r="AF297" s="583"/>
      <c r="AG297" s="583"/>
      <c r="AH297" s="583"/>
      <c r="AI297" s="583"/>
      <c r="AJ297" s="583"/>
      <c r="AK297" s="583"/>
      <c r="AL297" s="583"/>
      <c r="AM297" s="583"/>
      <c r="AN297" s="583"/>
      <c r="AO297" s="583"/>
      <c r="AP297" s="583"/>
      <c r="AR297" s="119"/>
      <c r="AS297" s="119"/>
    </row>
    <row r="298" spans="1:45" ht="27" customHeight="1" x14ac:dyDescent="0.4">
      <c r="B298" s="644"/>
      <c r="C298" s="723"/>
      <c r="D298" s="723"/>
      <c r="E298" s="723"/>
      <c r="F298" s="583"/>
      <c r="G298" s="583"/>
      <c r="H298" s="583"/>
      <c r="I298" s="583"/>
      <c r="J298" s="721"/>
      <c r="K298" s="722"/>
      <c r="L298" s="722"/>
      <c r="M298" s="722"/>
      <c r="N298" s="722"/>
      <c r="O298" s="722"/>
      <c r="P298" s="722"/>
      <c r="Q298" s="634"/>
      <c r="R298" s="634"/>
      <c r="S298" s="100"/>
      <c r="T298" s="101"/>
      <c r="U298" s="100"/>
      <c r="V298" s="634"/>
      <c r="W298" s="634"/>
      <c r="X298" s="721"/>
      <c r="Y298" s="722"/>
      <c r="Z298" s="722"/>
      <c r="AA298" s="722"/>
      <c r="AB298" s="722"/>
      <c r="AC298" s="722"/>
      <c r="AD298" s="722"/>
      <c r="AE298" s="583"/>
      <c r="AF298" s="583"/>
      <c r="AG298" s="583"/>
      <c r="AH298" s="583"/>
      <c r="AI298" s="634"/>
      <c r="AJ298" s="583"/>
      <c r="AK298" s="583"/>
      <c r="AL298" s="583"/>
      <c r="AM298" s="583"/>
      <c r="AN298" s="583"/>
      <c r="AO298" s="583"/>
      <c r="AP298" s="583"/>
      <c r="AR298" s="119"/>
      <c r="AS298" s="119"/>
    </row>
    <row r="299" spans="1:45" ht="27" customHeight="1" x14ac:dyDescent="0.4">
      <c r="B299" s="644"/>
      <c r="C299" s="723"/>
      <c r="D299" s="723"/>
      <c r="E299" s="723"/>
      <c r="F299" s="583"/>
      <c r="G299" s="583"/>
      <c r="H299" s="583"/>
      <c r="I299" s="583"/>
      <c r="J299" s="722"/>
      <c r="K299" s="722"/>
      <c r="L299" s="722"/>
      <c r="M299" s="722"/>
      <c r="N299" s="722"/>
      <c r="O299" s="722"/>
      <c r="P299" s="722"/>
      <c r="Q299" s="634"/>
      <c r="R299" s="634"/>
      <c r="S299" s="100"/>
      <c r="T299" s="101"/>
      <c r="U299" s="100"/>
      <c r="V299" s="634"/>
      <c r="W299" s="634"/>
      <c r="X299" s="722"/>
      <c r="Y299" s="722"/>
      <c r="Z299" s="722"/>
      <c r="AA299" s="722"/>
      <c r="AB299" s="722"/>
      <c r="AC299" s="722"/>
      <c r="AD299" s="722"/>
      <c r="AE299" s="583"/>
      <c r="AF299" s="583"/>
      <c r="AG299" s="583"/>
      <c r="AH299" s="583"/>
      <c r="AI299" s="583"/>
      <c r="AJ299" s="583"/>
      <c r="AK299" s="583"/>
      <c r="AL299" s="583"/>
      <c r="AM299" s="583"/>
      <c r="AN299" s="583"/>
      <c r="AO299" s="583"/>
      <c r="AP299" s="583"/>
      <c r="AR299" s="119"/>
      <c r="AS299" s="119"/>
    </row>
    <row r="300" spans="1:45" ht="27" customHeight="1" x14ac:dyDescent="0.4">
      <c r="B300" s="644"/>
      <c r="C300" s="723"/>
      <c r="D300" s="723"/>
      <c r="E300" s="723"/>
      <c r="F300" s="583"/>
      <c r="G300" s="583"/>
      <c r="H300" s="583"/>
      <c r="I300" s="583"/>
      <c r="J300" s="721"/>
      <c r="K300" s="722"/>
      <c r="L300" s="722"/>
      <c r="M300" s="722"/>
      <c r="N300" s="722"/>
      <c r="O300" s="722"/>
      <c r="P300" s="722"/>
      <c r="Q300" s="634"/>
      <c r="R300" s="634"/>
      <c r="S300" s="100"/>
      <c r="T300" s="101"/>
      <c r="U300" s="100"/>
      <c r="V300" s="634"/>
      <c r="W300" s="634"/>
      <c r="X300" s="721"/>
      <c r="Y300" s="722"/>
      <c r="Z300" s="722"/>
      <c r="AA300" s="722"/>
      <c r="AB300" s="722"/>
      <c r="AC300" s="722"/>
      <c r="AD300" s="722"/>
      <c r="AE300" s="583"/>
      <c r="AF300" s="583"/>
      <c r="AG300" s="583"/>
      <c r="AH300" s="583"/>
      <c r="AI300" s="634"/>
      <c r="AJ300" s="583"/>
      <c r="AK300" s="583"/>
      <c r="AL300" s="583"/>
      <c r="AM300" s="583"/>
      <c r="AN300" s="583"/>
      <c r="AO300" s="583"/>
      <c r="AP300" s="583"/>
      <c r="AR300" s="119"/>
      <c r="AS300" s="119"/>
    </row>
    <row r="301" spans="1:45" ht="27" customHeight="1" x14ac:dyDescent="0.4">
      <c r="B301" s="644"/>
      <c r="C301" s="723"/>
      <c r="D301" s="723"/>
      <c r="E301" s="723"/>
      <c r="F301" s="583"/>
      <c r="G301" s="583"/>
      <c r="H301" s="583"/>
      <c r="I301" s="583"/>
      <c r="J301" s="722"/>
      <c r="K301" s="722"/>
      <c r="L301" s="722"/>
      <c r="M301" s="722"/>
      <c r="N301" s="722"/>
      <c r="O301" s="722"/>
      <c r="P301" s="722"/>
      <c r="Q301" s="634"/>
      <c r="R301" s="634"/>
      <c r="S301" s="100"/>
      <c r="T301" s="101"/>
      <c r="U301" s="100"/>
      <c r="V301" s="634"/>
      <c r="W301" s="634"/>
      <c r="X301" s="722"/>
      <c r="Y301" s="722"/>
      <c r="Z301" s="722"/>
      <c r="AA301" s="722"/>
      <c r="AB301" s="722"/>
      <c r="AC301" s="722"/>
      <c r="AD301" s="722"/>
      <c r="AE301" s="583"/>
      <c r="AF301" s="583"/>
      <c r="AG301" s="583"/>
      <c r="AH301" s="583"/>
      <c r="AI301" s="583"/>
      <c r="AJ301" s="583"/>
      <c r="AK301" s="583"/>
      <c r="AL301" s="583"/>
      <c r="AM301" s="583"/>
      <c r="AN301" s="583"/>
      <c r="AO301" s="583"/>
      <c r="AP301" s="583"/>
      <c r="AR301" s="119"/>
      <c r="AS301" s="119"/>
    </row>
    <row r="302" spans="1:45" ht="27" customHeight="1" x14ac:dyDescent="0.4">
      <c r="B302" s="644"/>
      <c r="C302" s="723"/>
      <c r="D302" s="723"/>
      <c r="E302" s="723"/>
      <c r="F302" s="583"/>
      <c r="G302" s="583"/>
      <c r="H302" s="583"/>
      <c r="I302" s="583"/>
      <c r="J302" s="721"/>
      <c r="K302" s="722"/>
      <c r="L302" s="722"/>
      <c r="M302" s="722"/>
      <c r="N302" s="722"/>
      <c r="O302" s="722"/>
      <c r="P302" s="722"/>
      <c r="Q302" s="634"/>
      <c r="R302" s="634"/>
      <c r="S302" s="100"/>
      <c r="T302" s="101"/>
      <c r="U302" s="100"/>
      <c r="V302" s="634"/>
      <c r="W302" s="634"/>
      <c r="X302" s="721"/>
      <c r="Y302" s="722"/>
      <c r="Z302" s="722"/>
      <c r="AA302" s="722"/>
      <c r="AB302" s="722"/>
      <c r="AC302" s="722"/>
      <c r="AD302" s="722"/>
      <c r="AE302" s="583"/>
      <c r="AF302" s="583"/>
      <c r="AG302" s="583"/>
      <c r="AH302" s="583"/>
      <c r="AI302" s="634"/>
      <c r="AJ302" s="583"/>
      <c r="AK302" s="583"/>
      <c r="AL302" s="583"/>
      <c r="AM302" s="583"/>
      <c r="AN302" s="583"/>
      <c r="AO302" s="583"/>
      <c r="AP302" s="583"/>
      <c r="AR302" s="119"/>
      <c r="AS302" s="119"/>
    </row>
    <row r="303" spans="1:45" ht="27" customHeight="1" x14ac:dyDescent="0.4">
      <c r="B303" s="644"/>
      <c r="C303" s="723"/>
      <c r="D303" s="723"/>
      <c r="E303" s="723"/>
      <c r="F303" s="583"/>
      <c r="G303" s="583"/>
      <c r="H303" s="583"/>
      <c r="I303" s="583"/>
      <c r="J303" s="722"/>
      <c r="K303" s="722"/>
      <c r="L303" s="722"/>
      <c r="M303" s="722"/>
      <c r="N303" s="722"/>
      <c r="O303" s="722"/>
      <c r="P303" s="722"/>
      <c r="Q303" s="634"/>
      <c r="R303" s="634"/>
      <c r="S303" s="100"/>
      <c r="T303" s="101"/>
      <c r="U303" s="100"/>
      <c r="V303" s="634"/>
      <c r="W303" s="634"/>
      <c r="X303" s="722"/>
      <c r="Y303" s="722"/>
      <c r="Z303" s="722"/>
      <c r="AA303" s="722"/>
      <c r="AB303" s="722"/>
      <c r="AC303" s="722"/>
      <c r="AD303" s="722"/>
      <c r="AE303" s="583"/>
      <c r="AF303" s="583"/>
      <c r="AG303" s="583"/>
      <c r="AH303" s="583"/>
      <c r="AI303" s="583"/>
      <c r="AJ303" s="583"/>
      <c r="AK303" s="583"/>
      <c r="AL303" s="583"/>
      <c r="AM303" s="583"/>
      <c r="AN303" s="583"/>
      <c r="AO303" s="583"/>
      <c r="AP303" s="583"/>
    </row>
    <row r="304" spans="1:45" ht="27" customHeight="1" thickBot="1" x14ac:dyDescent="0.45">
      <c r="A304" s="102"/>
      <c r="B304" s="103"/>
      <c r="C304" s="104"/>
      <c r="D304" s="104"/>
      <c r="E304" s="104"/>
      <c r="F304" s="103"/>
      <c r="G304" s="103"/>
      <c r="H304" s="103"/>
      <c r="I304" s="103"/>
      <c r="J304" s="103"/>
      <c r="K304" s="105"/>
      <c r="L304" s="105"/>
      <c r="M304" s="106"/>
      <c r="N304" s="107"/>
      <c r="O304" s="106"/>
      <c r="P304" s="105"/>
      <c r="Q304" s="105"/>
      <c r="R304" s="103"/>
      <c r="S304" s="103"/>
      <c r="T304" s="103"/>
      <c r="U304" s="103"/>
      <c r="V304" s="103"/>
      <c r="W304" s="108"/>
      <c r="X304" s="108"/>
      <c r="Y304" s="108"/>
      <c r="Z304" s="108"/>
      <c r="AA304" s="108"/>
      <c r="AB304" s="108"/>
      <c r="AC304" s="102"/>
    </row>
    <row r="305" spans="1:45" ht="27" customHeight="1" thickBot="1" x14ac:dyDescent="0.45">
      <c r="D305" s="664" t="s">
        <v>8</v>
      </c>
      <c r="E305" s="665"/>
      <c r="F305" s="665"/>
      <c r="G305" s="665"/>
      <c r="H305" s="665"/>
      <c r="I305" s="666"/>
      <c r="J305" s="667" t="s">
        <v>5</v>
      </c>
      <c r="K305" s="665"/>
      <c r="L305" s="665"/>
      <c r="M305" s="665"/>
      <c r="N305" s="665"/>
      <c r="O305" s="665"/>
      <c r="P305" s="665"/>
      <c r="Q305" s="666"/>
      <c r="R305" s="668" t="s">
        <v>9</v>
      </c>
      <c r="S305" s="669"/>
      <c r="T305" s="669"/>
      <c r="U305" s="669"/>
      <c r="V305" s="669"/>
      <c r="W305" s="669"/>
      <c r="X305" s="669"/>
      <c r="Y305" s="669"/>
      <c r="Z305" s="670"/>
      <c r="AA305" s="609" t="s">
        <v>10</v>
      </c>
      <c r="AB305" s="610"/>
      <c r="AC305" s="671"/>
      <c r="AD305" s="609" t="s">
        <v>11</v>
      </c>
      <c r="AE305" s="610"/>
      <c r="AF305" s="610"/>
      <c r="AG305" s="610"/>
      <c r="AH305" s="610"/>
      <c r="AI305" s="610"/>
      <c r="AJ305" s="610"/>
      <c r="AK305" s="610"/>
      <c r="AL305" s="610"/>
      <c r="AM305" s="611"/>
    </row>
    <row r="306" spans="1:45" ht="27" customHeight="1" x14ac:dyDescent="0.4">
      <c r="D306" s="651" t="s">
        <v>298</v>
      </c>
      <c r="E306" s="652"/>
      <c r="F306" s="652"/>
      <c r="G306" s="652"/>
      <c r="H306" s="652"/>
      <c r="I306" s="653"/>
      <c r="J306" s="654"/>
      <c r="K306" s="652"/>
      <c r="L306" s="652"/>
      <c r="M306" s="652"/>
      <c r="N306" s="652"/>
      <c r="O306" s="652"/>
      <c r="P306" s="652"/>
      <c r="Q306" s="653"/>
      <c r="R306" s="655"/>
      <c r="S306" s="656"/>
      <c r="T306" s="656"/>
      <c r="U306" s="656"/>
      <c r="V306" s="656"/>
      <c r="W306" s="656"/>
      <c r="X306" s="656"/>
      <c r="Y306" s="656"/>
      <c r="Z306" s="657"/>
      <c r="AA306" s="658"/>
      <c r="AB306" s="659"/>
      <c r="AC306" s="660"/>
      <c r="AD306" s="661"/>
      <c r="AE306" s="662"/>
      <c r="AF306" s="662"/>
      <c r="AG306" s="662"/>
      <c r="AH306" s="662"/>
      <c r="AI306" s="662"/>
      <c r="AJ306" s="662"/>
      <c r="AK306" s="662"/>
      <c r="AL306" s="662"/>
      <c r="AM306" s="663"/>
    </row>
    <row r="307" spans="1:45" ht="27" customHeight="1" x14ac:dyDescent="0.4">
      <c r="D307" s="688" t="s">
        <v>12</v>
      </c>
      <c r="E307" s="604"/>
      <c r="F307" s="604"/>
      <c r="G307" s="604"/>
      <c r="H307" s="604"/>
      <c r="I307" s="605"/>
      <c r="J307" s="603"/>
      <c r="K307" s="604"/>
      <c r="L307" s="604"/>
      <c r="M307" s="604"/>
      <c r="N307" s="604"/>
      <c r="O307" s="604"/>
      <c r="P307" s="604"/>
      <c r="Q307" s="605"/>
      <c r="R307" s="606"/>
      <c r="S307" s="607"/>
      <c r="T307" s="607"/>
      <c r="U307" s="607"/>
      <c r="V307" s="607"/>
      <c r="W307" s="607"/>
      <c r="X307" s="607"/>
      <c r="Y307" s="607"/>
      <c r="Z307" s="608"/>
      <c r="AA307" s="606"/>
      <c r="AB307" s="607"/>
      <c r="AC307" s="608"/>
      <c r="AD307" s="672"/>
      <c r="AE307" s="673"/>
      <c r="AF307" s="673"/>
      <c r="AG307" s="673"/>
      <c r="AH307" s="673"/>
      <c r="AI307" s="673"/>
      <c r="AJ307" s="673"/>
      <c r="AK307" s="673"/>
      <c r="AL307" s="673"/>
      <c r="AM307" s="674"/>
    </row>
    <row r="308" spans="1:45" ht="27" customHeight="1" thickBot="1" x14ac:dyDescent="0.45">
      <c r="D308" s="675" t="s">
        <v>12</v>
      </c>
      <c r="E308" s="676"/>
      <c r="F308" s="676"/>
      <c r="G308" s="676"/>
      <c r="H308" s="676"/>
      <c r="I308" s="677"/>
      <c r="J308" s="678"/>
      <c r="K308" s="676"/>
      <c r="L308" s="676"/>
      <c r="M308" s="676"/>
      <c r="N308" s="676"/>
      <c r="O308" s="676"/>
      <c r="P308" s="676"/>
      <c r="Q308" s="677"/>
      <c r="R308" s="679"/>
      <c r="S308" s="680"/>
      <c r="T308" s="680"/>
      <c r="U308" s="680"/>
      <c r="V308" s="680"/>
      <c r="W308" s="680"/>
      <c r="X308" s="680"/>
      <c r="Y308" s="680"/>
      <c r="Z308" s="681"/>
      <c r="AA308" s="682"/>
      <c r="AB308" s="683"/>
      <c r="AC308" s="684"/>
      <c r="AD308" s="685"/>
      <c r="AE308" s="686"/>
      <c r="AF308" s="686"/>
      <c r="AG308" s="686"/>
      <c r="AH308" s="686"/>
      <c r="AI308" s="686"/>
      <c r="AJ308" s="686"/>
      <c r="AK308" s="686"/>
      <c r="AL308" s="686"/>
      <c r="AM308" s="687"/>
    </row>
    <row r="309" spans="1:45" ht="27" customHeight="1" x14ac:dyDescent="0.4"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7"/>
      <c r="AB309" s="107"/>
      <c r="AC309" s="107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</row>
    <row r="310" spans="1:45" ht="27" customHeight="1" x14ac:dyDescent="0.4">
      <c r="A310" s="115"/>
      <c r="B310" s="599" t="str">
        <f>U12組合せ!$B$1</f>
        <v>ＪＦＡ　Ｕ-１２サッカーリーグ2021（in栃木） 宇都宮地区リーグ戦（前期）</v>
      </c>
      <c r="C310" s="599"/>
      <c r="D310" s="599"/>
      <c r="E310" s="599"/>
      <c r="F310" s="599"/>
      <c r="G310" s="599"/>
      <c r="H310" s="599"/>
      <c r="I310" s="599"/>
      <c r="J310" s="599"/>
      <c r="K310" s="599"/>
      <c r="L310" s="599"/>
      <c r="M310" s="599"/>
      <c r="N310" s="599"/>
      <c r="O310" s="599"/>
      <c r="P310" s="599"/>
      <c r="Q310" s="599"/>
      <c r="R310" s="599"/>
      <c r="S310" s="599"/>
      <c r="T310" s="599"/>
      <c r="U310" s="599"/>
      <c r="V310" s="599"/>
      <c r="W310" s="599"/>
      <c r="X310" s="599"/>
      <c r="Y310" s="599"/>
      <c r="Z310" s="599"/>
      <c r="AA310" s="599"/>
      <c r="AB310" s="599"/>
      <c r="AC310" s="612" t="str">
        <f>"【"&amp;(U12組合せ!$F$3)&amp;"】"</f>
        <v>【Ｂ ブロック】</v>
      </c>
      <c r="AD310" s="612"/>
      <c r="AE310" s="612"/>
      <c r="AF310" s="612"/>
      <c r="AG310" s="612"/>
      <c r="AH310" s="612"/>
      <c r="AI310" s="612"/>
      <c r="AJ310" s="612"/>
      <c r="AK310" s="602" t="str">
        <f>"第"&amp;(U12組合せ!$D$39)</f>
        <v>第４節</v>
      </c>
      <c r="AL310" s="602"/>
      <c r="AM310" s="602"/>
      <c r="AN310" s="602"/>
      <c r="AO310" s="602"/>
      <c r="AP310" s="597" t="s">
        <v>300</v>
      </c>
      <c r="AQ310" s="598"/>
    </row>
    <row r="311" spans="1:45" ht="27" customHeight="1" x14ac:dyDescent="0.4">
      <c r="A311" s="115"/>
      <c r="B311" s="599"/>
      <c r="C311" s="599"/>
      <c r="D311" s="599"/>
      <c r="E311" s="599"/>
      <c r="F311" s="599"/>
      <c r="G311" s="599"/>
      <c r="H311" s="599"/>
      <c r="I311" s="599"/>
      <c r="J311" s="599"/>
      <c r="K311" s="599"/>
      <c r="L311" s="599"/>
      <c r="M311" s="599"/>
      <c r="N311" s="599"/>
      <c r="O311" s="599"/>
      <c r="P311" s="599"/>
      <c r="Q311" s="599"/>
      <c r="R311" s="599"/>
      <c r="S311" s="599"/>
      <c r="T311" s="599"/>
      <c r="U311" s="599"/>
      <c r="V311" s="599"/>
      <c r="W311" s="599"/>
      <c r="X311" s="599"/>
      <c r="Y311" s="599"/>
      <c r="Z311" s="599"/>
      <c r="AA311" s="599"/>
      <c r="AB311" s="599"/>
      <c r="AC311" s="601"/>
      <c r="AD311" s="601"/>
      <c r="AE311" s="601"/>
      <c r="AF311" s="601"/>
      <c r="AG311" s="601"/>
      <c r="AH311" s="601"/>
      <c r="AI311" s="601"/>
      <c r="AJ311" s="601"/>
      <c r="AK311" s="601"/>
      <c r="AL311" s="601"/>
      <c r="AM311" s="601"/>
      <c r="AN311" s="601"/>
      <c r="AO311" s="612"/>
      <c r="AP311" s="598"/>
      <c r="AQ311" s="598"/>
      <c r="AR311" s="115"/>
      <c r="AS311" s="115"/>
    </row>
    <row r="312" spans="1:45" ht="27" customHeight="1" x14ac:dyDescent="0.4">
      <c r="C312" s="635" t="s">
        <v>1</v>
      </c>
      <c r="D312" s="635"/>
      <c r="E312" s="635"/>
      <c r="F312" s="635"/>
      <c r="G312" s="725" t="str">
        <f>U12対戦スケジュール!I87</f>
        <v>雀宮南小 AM</v>
      </c>
      <c r="H312" s="726"/>
      <c r="I312" s="726"/>
      <c r="J312" s="726"/>
      <c r="K312" s="726"/>
      <c r="L312" s="726"/>
      <c r="M312" s="726"/>
      <c r="N312" s="726"/>
      <c r="O312" s="727"/>
      <c r="P312" s="635" t="s">
        <v>0</v>
      </c>
      <c r="Q312" s="635"/>
      <c r="R312" s="635"/>
      <c r="S312" s="635"/>
      <c r="T312" s="636" t="str">
        <f>AG316</f>
        <v>サウス宇都宮SC</v>
      </c>
      <c r="U312" s="636"/>
      <c r="V312" s="636"/>
      <c r="W312" s="636"/>
      <c r="X312" s="636"/>
      <c r="Y312" s="636"/>
      <c r="Z312" s="636"/>
      <c r="AA312" s="636"/>
      <c r="AB312" s="636"/>
      <c r="AC312" s="635" t="s">
        <v>2</v>
      </c>
      <c r="AD312" s="635"/>
      <c r="AE312" s="635"/>
      <c r="AF312" s="635"/>
      <c r="AG312" s="618">
        <f>U12組合せ!B$39</f>
        <v>44353</v>
      </c>
      <c r="AH312" s="619"/>
      <c r="AI312" s="619"/>
      <c r="AJ312" s="619"/>
      <c r="AK312" s="619"/>
      <c r="AL312" s="619"/>
      <c r="AM312" s="620" t="str">
        <f>"（"&amp;TEXT(AG312,"aaa")&amp;"）"</f>
        <v>（日）</v>
      </c>
      <c r="AN312" s="620"/>
      <c r="AO312" s="621"/>
      <c r="AP312" s="116"/>
    </row>
    <row r="313" spans="1:45" ht="27" customHeight="1" x14ac:dyDescent="0.4">
      <c r="C313" s="96" t="str">
        <f>U12組合せ!G42</f>
        <v>B249</v>
      </c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95"/>
      <c r="X313" s="95"/>
      <c r="Y313" s="95"/>
      <c r="Z313" s="95"/>
      <c r="AA313" s="95"/>
      <c r="AB313" s="95"/>
      <c r="AC313" s="95"/>
    </row>
    <row r="314" spans="1:45" ht="27" customHeight="1" x14ac:dyDescent="0.4">
      <c r="C314" s="637">
        <v>1</v>
      </c>
      <c r="D314" s="637"/>
      <c r="E314" s="584" t="str">
        <f>VLOOKUP(C314,U12組合せ!B$10:K$19,5,TRUE)</f>
        <v>スポルト宇都宮U12</v>
      </c>
      <c r="F314" s="584"/>
      <c r="G314" s="584"/>
      <c r="H314" s="584"/>
      <c r="I314" s="584"/>
      <c r="J314" s="584"/>
      <c r="K314" s="584"/>
      <c r="L314" s="584"/>
      <c r="M314" s="584"/>
      <c r="N314" s="584"/>
      <c r="O314" s="94"/>
      <c r="P314" s="94"/>
      <c r="Q314" s="636">
        <v>4</v>
      </c>
      <c r="R314" s="636"/>
      <c r="S314" s="709" t="str">
        <f>VLOOKUP(Q314,U12組合せ!B$10:K$19,5,TRUE)</f>
        <v>昭和・戸祭SC</v>
      </c>
      <c r="T314" s="709"/>
      <c r="U314" s="709"/>
      <c r="V314" s="709"/>
      <c r="W314" s="709"/>
      <c r="X314" s="709"/>
      <c r="Y314" s="709"/>
      <c r="Z314" s="709"/>
      <c r="AA314" s="709"/>
      <c r="AB314" s="709"/>
      <c r="AC314" s="92"/>
      <c r="AD314" s="93"/>
      <c r="AE314" s="637">
        <v>7</v>
      </c>
      <c r="AF314" s="637"/>
      <c r="AG314" s="584" t="str">
        <f>VLOOKUP(AE314,U12組合せ!B$10:'U12組合せ'!K$19,5,TRUE)</f>
        <v>上三川SC</v>
      </c>
      <c r="AH314" s="584"/>
      <c r="AI314" s="584"/>
      <c r="AJ314" s="584"/>
      <c r="AK314" s="584"/>
      <c r="AL314" s="584"/>
      <c r="AM314" s="584"/>
      <c r="AN314" s="584"/>
      <c r="AO314" s="584"/>
      <c r="AP314" s="584"/>
      <c r="AR314" s="96">
        <f>(321-1)/2</f>
        <v>160</v>
      </c>
    </row>
    <row r="315" spans="1:45" ht="27" customHeight="1" x14ac:dyDescent="0.4">
      <c r="C315" s="636">
        <v>2</v>
      </c>
      <c r="D315" s="636"/>
      <c r="E315" s="709" t="str">
        <f>VLOOKUP(C315,U12組合せ!B$10:K$19,5,TRUE)</f>
        <v>ウエストフットコム</v>
      </c>
      <c r="F315" s="709"/>
      <c r="G315" s="709"/>
      <c r="H315" s="709"/>
      <c r="I315" s="709"/>
      <c r="J315" s="709"/>
      <c r="K315" s="709"/>
      <c r="L315" s="709"/>
      <c r="M315" s="709"/>
      <c r="N315" s="709"/>
      <c r="O315" s="94"/>
      <c r="P315" s="94"/>
      <c r="Q315" s="637">
        <v>5</v>
      </c>
      <c r="R315" s="637"/>
      <c r="S315" s="584" t="str">
        <f>VLOOKUP(Q315,U12組合せ!B$10:K$19,5,TRUE)</f>
        <v>岡西FC</v>
      </c>
      <c r="T315" s="584"/>
      <c r="U315" s="584"/>
      <c r="V315" s="584"/>
      <c r="W315" s="584"/>
      <c r="X315" s="584"/>
      <c r="Y315" s="584"/>
      <c r="Z315" s="584"/>
      <c r="AA315" s="584"/>
      <c r="AB315" s="584"/>
      <c r="AC315" s="92"/>
      <c r="AD315" s="93"/>
      <c r="AE315" s="637">
        <v>8</v>
      </c>
      <c r="AF315" s="637"/>
      <c r="AG315" s="584" t="str">
        <f>VLOOKUP(AE315,U12組合せ!B$10:'U12組合せ'!K$19,5,TRUE)</f>
        <v>宇都宮FCジュニア</v>
      </c>
      <c r="AH315" s="584"/>
      <c r="AI315" s="584"/>
      <c r="AJ315" s="584"/>
      <c r="AK315" s="584"/>
      <c r="AL315" s="584"/>
      <c r="AM315" s="584"/>
      <c r="AN315" s="584"/>
      <c r="AO315" s="584"/>
      <c r="AP315" s="584"/>
      <c r="AR315" s="96">
        <v>89</v>
      </c>
    </row>
    <row r="316" spans="1:45" ht="27" customHeight="1" x14ac:dyDescent="0.4">
      <c r="C316" s="637">
        <v>3</v>
      </c>
      <c r="D316" s="637"/>
      <c r="E316" s="584" t="str">
        <f>VLOOKUP(C316,U12組合せ!B$10:K$19,5,TRUE)</f>
        <v>緑ヶ丘ＹＦＣ</v>
      </c>
      <c r="F316" s="584"/>
      <c r="G316" s="584"/>
      <c r="H316" s="584"/>
      <c r="I316" s="584"/>
      <c r="J316" s="584"/>
      <c r="K316" s="584"/>
      <c r="L316" s="584"/>
      <c r="M316" s="584"/>
      <c r="N316" s="584"/>
      <c r="O316" s="94"/>
      <c r="P316" s="94"/>
      <c r="Q316" s="637">
        <v>6</v>
      </c>
      <c r="R316" s="637"/>
      <c r="S316" s="584" t="str">
        <f>VLOOKUP(Q316,U12組合せ!B$10:K$19,5,TRUE)</f>
        <v>FCグラシアス</v>
      </c>
      <c r="T316" s="584"/>
      <c r="U316" s="584"/>
      <c r="V316" s="584"/>
      <c r="W316" s="584"/>
      <c r="X316" s="584"/>
      <c r="Y316" s="584"/>
      <c r="Z316" s="584"/>
      <c r="AA316" s="584"/>
      <c r="AB316" s="584"/>
      <c r="AC316" s="92"/>
      <c r="AD316" s="93"/>
      <c r="AE316" s="636">
        <v>9</v>
      </c>
      <c r="AF316" s="636"/>
      <c r="AG316" s="709" t="str">
        <f>VLOOKUP(AE316,U12組合せ!B$10:'U12組合せ'!K$19,5,TRUE)</f>
        <v>サウス宇都宮SC</v>
      </c>
      <c r="AH316" s="709"/>
      <c r="AI316" s="709"/>
      <c r="AJ316" s="709"/>
      <c r="AK316" s="709"/>
      <c r="AL316" s="709"/>
      <c r="AM316" s="709"/>
      <c r="AN316" s="709"/>
      <c r="AO316" s="709"/>
      <c r="AP316" s="709"/>
      <c r="AR316" s="96">
        <f>AR314-AR315</f>
        <v>71</v>
      </c>
    </row>
    <row r="317" spans="1:45" ht="27" customHeight="1" x14ac:dyDescent="0.4">
      <c r="B317" s="102"/>
      <c r="O317" s="102"/>
      <c r="P317" s="102"/>
      <c r="AC317" s="95"/>
      <c r="AD317" s="102"/>
      <c r="AE317" s="102"/>
      <c r="AF317" s="102"/>
      <c r="AG317" s="102"/>
    </row>
    <row r="318" spans="1:45" ht="27" customHeight="1" x14ac:dyDescent="0.4">
      <c r="C318" s="117"/>
      <c r="D318" s="118"/>
      <c r="E318" s="118"/>
      <c r="F318" s="118"/>
      <c r="G318" s="118"/>
      <c r="H318" s="118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18"/>
      <c r="U318" s="102"/>
      <c r="V318" s="118"/>
      <c r="W318" s="102"/>
      <c r="X318" s="118"/>
      <c r="Y318" s="102"/>
      <c r="Z318" s="118"/>
      <c r="AA318" s="102"/>
      <c r="AB318" s="118"/>
      <c r="AC318" s="118"/>
    </row>
    <row r="319" spans="1:45" ht="27" customHeight="1" x14ac:dyDescent="0.4">
      <c r="B319" s="118" t="str">
        <f ca="1">IF(B321="①","【監督会議 8：20～】","【監督会議 12：50～】")</f>
        <v>【監督会議 8：20～】</v>
      </c>
      <c r="I319" s="96" t="s">
        <v>330</v>
      </c>
    </row>
    <row r="320" spans="1:45" ht="27" customHeight="1" x14ac:dyDescent="0.4">
      <c r="B320" s="97"/>
      <c r="C320" s="779" t="s">
        <v>3</v>
      </c>
      <c r="D320" s="780"/>
      <c r="E320" s="781"/>
      <c r="F320" s="782" t="s">
        <v>4</v>
      </c>
      <c r="G320" s="783"/>
      <c r="H320" s="783"/>
      <c r="I320" s="784"/>
      <c r="J320" s="779" t="s">
        <v>5</v>
      </c>
      <c r="K320" s="780"/>
      <c r="L320" s="780"/>
      <c r="M320" s="780"/>
      <c r="N320" s="780"/>
      <c r="O320" s="780"/>
      <c r="P320" s="781"/>
      <c r="Q320" s="779" t="s">
        <v>32</v>
      </c>
      <c r="R320" s="780"/>
      <c r="S320" s="780"/>
      <c r="T320" s="780"/>
      <c r="U320" s="780"/>
      <c r="V320" s="780"/>
      <c r="W320" s="781"/>
      <c r="X320" s="779" t="s">
        <v>5</v>
      </c>
      <c r="Y320" s="780"/>
      <c r="Z320" s="780"/>
      <c r="AA320" s="780"/>
      <c r="AB320" s="780"/>
      <c r="AC320" s="780"/>
      <c r="AD320" s="781"/>
      <c r="AE320" s="782" t="s">
        <v>4</v>
      </c>
      <c r="AF320" s="783"/>
      <c r="AG320" s="783"/>
      <c r="AH320" s="784"/>
      <c r="AI320" s="779" t="s">
        <v>6</v>
      </c>
      <c r="AJ320" s="780"/>
      <c r="AK320" s="780"/>
      <c r="AL320" s="780"/>
      <c r="AM320" s="780"/>
      <c r="AN320" s="780"/>
      <c r="AO320" s="780"/>
      <c r="AP320" s="781"/>
    </row>
    <row r="321" spans="1:45" ht="27" customHeight="1" x14ac:dyDescent="0.4">
      <c r="B321" s="644" t="str">
        <f ca="1">DBCS(INDIRECT("U12対戦スケジュール!ｇ"&amp;(ROW()-1)/2-AR$316))</f>
        <v>①</v>
      </c>
      <c r="C321" s="645">
        <f ca="1">INDIRECT("U12対戦スケジュール!ｈ"&amp;(ROW()-1)/2-AR$316)</f>
        <v>0.375</v>
      </c>
      <c r="D321" s="646"/>
      <c r="E321" s="647"/>
      <c r="F321" s="622"/>
      <c r="G321" s="623"/>
      <c r="H321" s="623"/>
      <c r="I321" s="624"/>
      <c r="J321" s="746" t="str">
        <f ca="1">VLOOKUP(AR321,U12組合せ!B$10:K$19,5,TRUE)</f>
        <v>ウエストフットコム</v>
      </c>
      <c r="K321" s="747"/>
      <c r="L321" s="747"/>
      <c r="M321" s="747"/>
      <c r="N321" s="747"/>
      <c r="O321" s="747"/>
      <c r="P321" s="747"/>
      <c r="Q321" s="628" t="str">
        <f>IF(OR(S321="",S322=""),"",S321+S322)</f>
        <v/>
      </c>
      <c r="R321" s="630"/>
      <c r="S321" s="100"/>
      <c r="T321" s="101" t="s">
        <v>7</v>
      </c>
      <c r="U321" s="100"/>
      <c r="V321" s="628" t="str">
        <f>IF(OR(U321="",U322=""),"",U321+U322)</f>
        <v/>
      </c>
      <c r="W321" s="630"/>
      <c r="X321" s="746" t="str">
        <f ca="1">VLOOKUP(AS321,U12組合せ!B$10:K$19,5,TRUE)</f>
        <v>昭和・戸祭SC</v>
      </c>
      <c r="Y321" s="747"/>
      <c r="Z321" s="747"/>
      <c r="AA321" s="747"/>
      <c r="AB321" s="747"/>
      <c r="AC321" s="747"/>
      <c r="AD321" s="747"/>
      <c r="AE321" s="622"/>
      <c r="AF321" s="623"/>
      <c r="AG321" s="623"/>
      <c r="AH321" s="624"/>
      <c r="AI321" s="758" t="str">
        <f ca="1">DBCS(INDIRECT("U12対戦スケジュール!L"&amp;(ROW()-1)/2-AR$316))</f>
        <v>９／２／４／９</v>
      </c>
      <c r="AJ321" s="759"/>
      <c r="AK321" s="759"/>
      <c r="AL321" s="759"/>
      <c r="AM321" s="759"/>
      <c r="AN321" s="759"/>
      <c r="AO321" s="759"/>
      <c r="AP321" s="760"/>
      <c r="AR321" s="119">
        <f ca="1">INDIRECT("U12対戦スケジュール!I"&amp;(ROW()-1)/2-AR$316)</f>
        <v>2</v>
      </c>
      <c r="AS321" s="119">
        <f ca="1">INDIRECT("U12対戦スケジュール!K"&amp;(ROW()-1)/2-AR$316)</f>
        <v>4</v>
      </c>
    </row>
    <row r="322" spans="1:45" ht="27" customHeight="1" x14ac:dyDescent="0.4">
      <c r="B322" s="644"/>
      <c r="C322" s="648"/>
      <c r="D322" s="649"/>
      <c r="E322" s="650"/>
      <c r="F322" s="625"/>
      <c r="G322" s="626"/>
      <c r="H322" s="626"/>
      <c r="I322" s="627"/>
      <c r="J322" s="747"/>
      <c r="K322" s="747"/>
      <c r="L322" s="747"/>
      <c r="M322" s="747"/>
      <c r="N322" s="747"/>
      <c r="O322" s="747"/>
      <c r="P322" s="747"/>
      <c r="Q322" s="631"/>
      <c r="R322" s="633"/>
      <c r="S322" s="100"/>
      <c r="T322" s="101" t="s">
        <v>7</v>
      </c>
      <c r="U322" s="100"/>
      <c r="V322" s="631"/>
      <c r="W322" s="633"/>
      <c r="X322" s="747"/>
      <c r="Y322" s="747"/>
      <c r="Z322" s="747"/>
      <c r="AA322" s="747"/>
      <c r="AB322" s="747"/>
      <c r="AC322" s="747"/>
      <c r="AD322" s="747"/>
      <c r="AE322" s="625"/>
      <c r="AF322" s="626"/>
      <c r="AG322" s="626"/>
      <c r="AH322" s="627"/>
      <c r="AI322" s="761"/>
      <c r="AJ322" s="762"/>
      <c r="AK322" s="762"/>
      <c r="AL322" s="762"/>
      <c r="AM322" s="762"/>
      <c r="AN322" s="762"/>
      <c r="AO322" s="762"/>
      <c r="AP322" s="763"/>
      <c r="AR322" s="119"/>
      <c r="AS322" s="119"/>
    </row>
    <row r="323" spans="1:45" ht="27" customHeight="1" x14ac:dyDescent="0.4">
      <c r="B323" s="644" t="str">
        <f ca="1">DBCS(INDIRECT("U12対戦スケジュール!ｇ"&amp;(ROW()-1)/2-AR$316))</f>
        <v>②</v>
      </c>
      <c r="C323" s="645">
        <f ca="1">INDIRECT("U12対戦スケジュール!ｈ"&amp;(ROW()-1)/2-AR$316)</f>
        <v>0.41699999999999998</v>
      </c>
      <c r="D323" s="646"/>
      <c r="E323" s="647"/>
      <c r="F323" s="622"/>
      <c r="G323" s="623"/>
      <c r="H323" s="623"/>
      <c r="I323" s="624"/>
      <c r="J323" s="746" t="str">
        <f ca="1">VLOOKUP(AR323,U12組合せ!B$10:K$19,5,TRUE)</f>
        <v>サウス宇都宮SC</v>
      </c>
      <c r="K323" s="747"/>
      <c r="L323" s="747"/>
      <c r="M323" s="747"/>
      <c r="N323" s="747"/>
      <c r="O323" s="747"/>
      <c r="P323" s="747"/>
      <c r="Q323" s="628" t="str">
        <f>IF(OR(S323="",S324=""),"",S323+S324)</f>
        <v/>
      </c>
      <c r="R323" s="630"/>
      <c r="S323" s="100"/>
      <c r="T323" s="101" t="s">
        <v>7</v>
      </c>
      <c r="U323" s="100"/>
      <c r="V323" s="628" t="str">
        <f>IF(OR(U323="",U324=""),"",U323+U324)</f>
        <v/>
      </c>
      <c r="W323" s="630"/>
      <c r="X323" s="746" t="str">
        <f ca="1">VLOOKUP(AS323,U12組合せ!B$10:K$19,5,TRUE)</f>
        <v>昭和・戸祭SC</v>
      </c>
      <c r="Y323" s="747"/>
      <c r="Z323" s="747"/>
      <c r="AA323" s="747"/>
      <c r="AB323" s="747"/>
      <c r="AC323" s="747"/>
      <c r="AD323" s="747"/>
      <c r="AE323" s="622"/>
      <c r="AF323" s="623"/>
      <c r="AG323" s="623"/>
      <c r="AH323" s="624"/>
      <c r="AI323" s="758" t="str">
        <f ca="1">DBCS(INDIRECT("U12対戦スケジュール!L"&amp;(ROW()-1)/2-AR$316))</f>
        <v>２／４／９／２</v>
      </c>
      <c r="AJ323" s="759"/>
      <c r="AK323" s="759"/>
      <c r="AL323" s="759"/>
      <c r="AM323" s="759"/>
      <c r="AN323" s="759"/>
      <c r="AO323" s="759"/>
      <c r="AP323" s="760"/>
      <c r="AR323" s="119">
        <f ca="1">INDIRECT("U12対戦スケジュール!I"&amp;(ROW()-1)/2-AR$316)</f>
        <v>9</v>
      </c>
      <c r="AS323" s="119">
        <f ca="1">INDIRECT("U12対戦スケジュール!K"&amp;(ROW()-1)/2-AR$316)</f>
        <v>4</v>
      </c>
    </row>
    <row r="324" spans="1:45" ht="27" customHeight="1" x14ac:dyDescent="0.4">
      <c r="B324" s="644"/>
      <c r="C324" s="648"/>
      <c r="D324" s="649"/>
      <c r="E324" s="650"/>
      <c r="F324" s="625"/>
      <c r="G324" s="626"/>
      <c r="H324" s="626"/>
      <c r="I324" s="627"/>
      <c r="J324" s="747"/>
      <c r="K324" s="747"/>
      <c r="L324" s="747"/>
      <c r="M324" s="747"/>
      <c r="N324" s="747"/>
      <c r="O324" s="747"/>
      <c r="P324" s="747"/>
      <c r="Q324" s="631"/>
      <c r="R324" s="633"/>
      <c r="S324" s="100"/>
      <c r="T324" s="101" t="s">
        <v>7</v>
      </c>
      <c r="U324" s="100"/>
      <c r="V324" s="631"/>
      <c r="W324" s="633"/>
      <c r="X324" s="747"/>
      <c r="Y324" s="747"/>
      <c r="Z324" s="747"/>
      <c r="AA324" s="747"/>
      <c r="AB324" s="747"/>
      <c r="AC324" s="747"/>
      <c r="AD324" s="747"/>
      <c r="AE324" s="625"/>
      <c r="AF324" s="626"/>
      <c r="AG324" s="626"/>
      <c r="AH324" s="627"/>
      <c r="AI324" s="761"/>
      <c r="AJ324" s="762"/>
      <c r="AK324" s="762"/>
      <c r="AL324" s="762"/>
      <c r="AM324" s="762"/>
      <c r="AN324" s="762"/>
      <c r="AO324" s="762"/>
      <c r="AP324" s="763"/>
      <c r="AR324" s="119"/>
      <c r="AS324" s="119"/>
    </row>
    <row r="325" spans="1:45" ht="27" customHeight="1" x14ac:dyDescent="0.4">
      <c r="B325" s="644" t="str">
        <f ca="1">DBCS(INDIRECT("U12対戦スケジュール!ｇ"&amp;(ROW()-1)/2-AR$316))</f>
        <v>③</v>
      </c>
      <c r="C325" s="645">
        <f ca="1">INDIRECT("U12対戦スケジュール!ｈ"&amp;(ROW()-1)/2-AR$316)</f>
        <v>0.45899999999999996</v>
      </c>
      <c r="D325" s="646"/>
      <c r="E325" s="647"/>
      <c r="F325" s="622"/>
      <c r="G325" s="623"/>
      <c r="H325" s="623"/>
      <c r="I325" s="624"/>
      <c r="J325" s="746" t="str">
        <f ca="1">VLOOKUP(AR325,U12組合せ!B$10:K$19,5,TRUE)</f>
        <v>サウス宇都宮SC</v>
      </c>
      <c r="K325" s="747"/>
      <c r="L325" s="747"/>
      <c r="M325" s="747"/>
      <c r="N325" s="747"/>
      <c r="O325" s="747"/>
      <c r="P325" s="747"/>
      <c r="Q325" s="628" t="str">
        <f>IF(OR(S325="",S326=""),"",S325+S326)</f>
        <v/>
      </c>
      <c r="R325" s="630"/>
      <c r="S325" s="100"/>
      <c r="T325" s="101" t="s">
        <v>7</v>
      </c>
      <c r="U325" s="100"/>
      <c r="V325" s="628" t="str">
        <f>IF(OR(U325="",U326=""),"",U325+U326)</f>
        <v/>
      </c>
      <c r="W325" s="630"/>
      <c r="X325" s="746" t="str">
        <f ca="1">VLOOKUP(AS325,U12組合せ!B$10:K$19,5,TRUE)</f>
        <v>ウエストフットコム</v>
      </c>
      <c r="Y325" s="747"/>
      <c r="Z325" s="747"/>
      <c r="AA325" s="747"/>
      <c r="AB325" s="747"/>
      <c r="AC325" s="747"/>
      <c r="AD325" s="747"/>
      <c r="AE325" s="622"/>
      <c r="AF325" s="623"/>
      <c r="AG325" s="623"/>
      <c r="AH325" s="624"/>
      <c r="AI325" s="758" t="str">
        <f ca="1">DBCS(INDIRECT("U12対戦スケジュール!L"&amp;(ROW()-1)/2-AR$316))</f>
        <v>４／９／２／４</v>
      </c>
      <c r="AJ325" s="759"/>
      <c r="AK325" s="759"/>
      <c r="AL325" s="759"/>
      <c r="AM325" s="759"/>
      <c r="AN325" s="759"/>
      <c r="AO325" s="759"/>
      <c r="AP325" s="760"/>
      <c r="AR325" s="119">
        <f ca="1">INDIRECT("U12対戦スケジュール!I"&amp;(ROW()-1)/2-AR$316)</f>
        <v>9</v>
      </c>
      <c r="AS325" s="119">
        <f ca="1">INDIRECT("U12対戦スケジュール!K"&amp;(ROW()-1)/2-AR$316)</f>
        <v>2</v>
      </c>
    </row>
    <row r="326" spans="1:45" ht="27" customHeight="1" x14ac:dyDescent="0.4">
      <c r="B326" s="644"/>
      <c r="C326" s="648"/>
      <c r="D326" s="649"/>
      <c r="E326" s="650"/>
      <c r="F326" s="625"/>
      <c r="G326" s="626"/>
      <c r="H326" s="626"/>
      <c r="I326" s="627"/>
      <c r="J326" s="747"/>
      <c r="K326" s="747"/>
      <c r="L326" s="747"/>
      <c r="M326" s="747"/>
      <c r="N326" s="747"/>
      <c r="O326" s="747"/>
      <c r="P326" s="747"/>
      <c r="Q326" s="631"/>
      <c r="R326" s="633"/>
      <c r="S326" s="100"/>
      <c r="T326" s="101" t="s">
        <v>7</v>
      </c>
      <c r="U326" s="100"/>
      <c r="V326" s="631"/>
      <c r="W326" s="633"/>
      <c r="X326" s="747"/>
      <c r="Y326" s="747"/>
      <c r="Z326" s="747"/>
      <c r="AA326" s="747"/>
      <c r="AB326" s="747"/>
      <c r="AC326" s="747"/>
      <c r="AD326" s="747"/>
      <c r="AE326" s="625"/>
      <c r="AF326" s="626"/>
      <c r="AG326" s="626"/>
      <c r="AH326" s="627"/>
      <c r="AI326" s="761"/>
      <c r="AJ326" s="762"/>
      <c r="AK326" s="762"/>
      <c r="AL326" s="762"/>
      <c r="AM326" s="762"/>
      <c r="AN326" s="762"/>
      <c r="AO326" s="762"/>
      <c r="AP326" s="763"/>
      <c r="AR326" s="119"/>
      <c r="AS326" s="119"/>
    </row>
    <row r="327" spans="1:45" ht="27" customHeight="1" x14ac:dyDescent="0.4">
      <c r="B327" s="585"/>
      <c r="C327" s="645"/>
      <c r="D327" s="646"/>
      <c r="E327" s="647"/>
      <c r="F327" s="622"/>
      <c r="G327" s="623"/>
      <c r="H327" s="623"/>
      <c r="I327" s="624"/>
      <c r="J327" s="758"/>
      <c r="K327" s="759"/>
      <c r="L327" s="759"/>
      <c r="M327" s="759"/>
      <c r="N327" s="759"/>
      <c r="O327" s="759"/>
      <c r="P327" s="760"/>
      <c r="Q327" s="628"/>
      <c r="R327" s="630"/>
      <c r="S327" s="109"/>
      <c r="T327" s="110"/>
      <c r="U327" s="109"/>
      <c r="V327" s="628"/>
      <c r="W327" s="630"/>
      <c r="X327" s="758"/>
      <c r="Y327" s="759"/>
      <c r="Z327" s="759"/>
      <c r="AA327" s="759"/>
      <c r="AB327" s="759"/>
      <c r="AC327" s="759"/>
      <c r="AD327" s="760"/>
      <c r="AE327" s="622"/>
      <c r="AF327" s="623"/>
      <c r="AG327" s="623"/>
      <c r="AH327" s="624"/>
      <c r="AI327" s="770"/>
      <c r="AJ327" s="771"/>
      <c r="AK327" s="771"/>
      <c r="AL327" s="771"/>
      <c r="AM327" s="771"/>
      <c r="AN327" s="771"/>
      <c r="AO327" s="771"/>
      <c r="AP327" s="772"/>
      <c r="AR327" s="119"/>
      <c r="AS327" s="119"/>
    </row>
    <row r="328" spans="1:45" ht="27" customHeight="1" x14ac:dyDescent="0.4">
      <c r="B328" s="586"/>
      <c r="C328" s="648"/>
      <c r="D328" s="649"/>
      <c r="E328" s="650"/>
      <c r="F328" s="625"/>
      <c r="G328" s="626"/>
      <c r="H328" s="626"/>
      <c r="I328" s="627"/>
      <c r="J328" s="761"/>
      <c r="K328" s="762"/>
      <c r="L328" s="762"/>
      <c r="M328" s="762"/>
      <c r="N328" s="762"/>
      <c r="O328" s="762"/>
      <c r="P328" s="763"/>
      <c r="Q328" s="631"/>
      <c r="R328" s="633"/>
      <c r="S328" s="100"/>
      <c r="T328" s="101"/>
      <c r="U328" s="100"/>
      <c r="V328" s="631"/>
      <c r="W328" s="633"/>
      <c r="X328" s="761"/>
      <c r="Y328" s="762"/>
      <c r="Z328" s="762"/>
      <c r="AA328" s="762"/>
      <c r="AB328" s="762"/>
      <c r="AC328" s="762"/>
      <c r="AD328" s="763"/>
      <c r="AE328" s="625"/>
      <c r="AF328" s="626"/>
      <c r="AG328" s="626"/>
      <c r="AH328" s="627"/>
      <c r="AI328" s="773"/>
      <c r="AJ328" s="774"/>
      <c r="AK328" s="774"/>
      <c r="AL328" s="774"/>
      <c r="AM328" s="774"/>
      <c r="AN328" s="774"/>
      <c r="AO328" s="774"/>
      <c r="AP328" s="775"/>
      <c r="AR328" s="119"/>
      <c r="AS328" s="119"/>
    </row>
    <row r="329" spans="1:45" ht="27" customHeight="1" x14ac:dyDescent="0.4">
      <c r="B329" s="585"/>
      <c r="C329" s="645"/>
      <c r="D329" s="646"/>
      <c r="E329" s="647"/>
      <c r="F329" s="622"/>
      <c r="G329" s="623"/>
      <c r="H329" s="623"/>
      <c r="I329" s="624"/>
      <c r="J329" s="758"/>
      <c r="K329" s="759"/>
      <c r="L329" s="759"/>
      <c r="M329" s="759"/>
      <c r="N329" s="759"/>
      <c r="O329" s="759"/>
      <c r="P329" s="760"/>
      <c r="Q329" s="628"/>
      <c r="R329" s="630"/>
      <c r="S329" s="100"/>
      <c r="T329" s="101"/>
      <c r="U329" s="100"/>
      <c r="V329" s="628"/>
      <c r="W329" s="630"/>
      <c r="X329" s="758"/>
      <c r="Y329" s="759"/>
      <c r="Z329" s="759"/>
      <c r="AA329" s="759"/>
      <c r="AB329" s="759"/>
      <c r="AC329" s="759"/>
      <c r="AD329" s="760"/>
      <c r="AE329" s="622"/>
      <c r="AF329" s="623"/>
      <c r="AG329" s="623"/>
      <c r="AH329" s="624"/>
      <c r="AI329" s="770"/>
      <c r="AJ329" s="771"/>
      <c r="AK329" s="771"/>
      <c r="AL329" s="771"/>
      <c r="AM329" s="771"/>
      <c r="AN329" s="771"/>
      <c r="AO329" s="771"/>
      <c r="AP329" s="772"/>
      <c r="AR329" s="119"/>
      <c r="AS329" s="119"/>
    </row>
    <row r="330" spans="1:45" ht="27" customHeight="1" x14ac:dyDescent="0.4">
      <c r="B330" s="586"/>
      <c r="C330" s="648"/>
      <c r="D330" s="649"/>
      <c r="E330" s="650"/>
      <c r="F330" s="625"/>
      <c r="G330" s="626"/>
      <c r="H330" s="626"/>
      <c r="I330" s="627"/>
      <c r="J330" s="761"/>
      <c r="K330" s="762"/>
      <c r="L330" s="762"/>
      <c r="M330" s="762"/>
      <c r="N330" s="762"/>
      <c r="O330" s="762"/>
      <c r="P330" s="763"/>
      <c r="Q330" s="631"/>
      <c r="R330" s="633"/>
      <c r="S330" s="100"/>
      <c r="T330" s="101"/>
      <c r="U330" s="100"/>
      <c r="V330" s="631"/>
      <c r="W330" s="633"/>
      <c r="X330" s="761"/>
      <c r="Y330" s="762"/>
      <c r="Z330" s="762"/>
      <c r="AA330" s="762"/>
      <c r="AB330" s="762"/>
      <c r="AC330" s="762"/>
      <c r="AD330" s="763"/>
      <c r="AE330" s="625"/>
      <c r="AF330" s="626"/>
      <c r="AG330" s="626"/>
      <c r="AH330" s="627"/>
      <c r="AI330" s="773"/>
      <c r="AJ330" s="774"/>
      <c r="AK330" s="774"/>
      <c r="AL330" s="774"/>
      <c r="AM330" s="774"/>
      <c r="AN330" s="774"/>
      <c r="AO330" s="774"/>
      <c r="AP330" s="775"/>
      <c r="AR330" s="119"/>
      <c r="AS330" s="119"/>
    </row>
    <row r="331" spans="1:45" ht="27" customHeight="1" x14ac:dyDescent="0.4">
      <c r="B331" s="585"/>
      <c r="C331" s="645"/>
      <c r="D331" s="646"/>
      <c r="E331" s="647"/>
      <c r="F331" s="622"/>
      <c r="G331" s="623"/>
      <c r="H331" s="623"/>
      <c r="I331" s="624"/>
      <c r="J331" s="758"/>
      <c r="K331" s="759"/>
      <c r="L331" s="759"/>
      <c r="M331" s="759"/>
      <c r="N331" s="759"/>
      <c r="O331" s="759"/>
      <c r="P331" s="760"/>
      <c r="Q331" s="628"/>
      <c r="R331" s="630"/>
      <c r="S331" s="100"/>
      <c r="T331" s="101"/>
      <c r="U331" s="100"/>
      <c r="V331" s="628"/>
      <c r="W331" s="630"/>
      <c r="X331" s="758"/>
      <c r="Y331" s="759"/>
      <c r="Z331" s="759"/>
      <c r="AA331" s="759"/>
      <c r="AB331" s="759"/>
      <c r="AC331" s="759"/>
      <c r="AD331" s="760"/>
      <c r="AE331" s="622"/>
      <c r="AF331" s="623"/>
      <c r="AG331" s="623"/>
      <c r="AH331" s="624"/>
      <c r="AI331" s="770"/>
      <c r="AJ331" s="771"/>
      <c r="AK331" s="771"/>
      <c r="AL331" s="771"/>
      <c r="AM331" s="771"/>
      <c r="AN331" s="771"/>
      <c r="AO331" s="771"/>
      <c r="AP331" s="772"/>
      <c r="AR331" s="119"/>
      <c r="AS331" s="119"/>
    </row>
    <row r="332" spans="1:45" ht="27" customHeight="1" x14ac:dyDescent="0.4">
      <c r="B332" s="586"/>
      <c r="C332" s="648"/>
      <c r="D332" s="649"/>
      <c r="E332" s="650"/>
      <c r="F332" s="625"/>
      <c r="G332" s="626"/>
      <c r="H332" s="626"/>
      <c r="I332" s="627"/>
      <c r="J332" s="761"/>
      <c r="K332" s="762"/>
      <c r="L332" s="762"/>
      <c r="M332" s="762"/>
      <c r="N332" s="762"/>
      <c r="O332" s="762"/>
      <c r="P332" s="763"/>
      <c r="Q332" s="631"/>
      <c r="R332" s="633"/>
      <c r="S332" s="100"/>
      <c r="T332" s="101"/>
      <c r="U332" s="100"/>
      <c r="V332" s="631"/>
      <c r="W332" s="633"/>
      <c r="X332" s="761"/>
      <c r="Y332" s="762"/>
      <c r="Z332" s="762"/>
      <c r="AA332" s="762"/>
      <c r="AB332" s="762"/>
      <c r="AC332" s="762"/>
      <c r="AD332" s="763"/>
      <c r="AE332" s="625"/>
      <c r="AF332" s="626"/>
      <c r="AG332" s="626"/>
      <c r="AH332" s="627"/>
      <c r="AI332" s="773"/>
      <c r="AJ332" s="774"/>
      <c r="AK332" s="774"/>
      <c r="AL332" s="774"/>
      <c r="AM332" s="774"/>
      <c r="AN332" s="774"/>
      <c r="AO332" s="774"/>
      <c r="AP332" s="775"/>
      <c r="AR332" s="119"/>
      <c r="AS332" s="119"/>
    </row>
    <row r="333" spans="1:45" ht="27" customHeight="1" x14ac:dyDescent="0.4">
      <c r="B333" s="585"/>
      <c r="C333" s="764"/>
      <c r="D333" s="765"/>
      <c r="E333" s="766"/>
      <c r="F333" s="622"/>
      <c r="G333" s="623"/>
      <c r="H333" s="623"/>
      <c r="I333" s="624"/>
      <c r="J333" s="689"/>
      <c r="K333" s="690"/>
      <c r="L333" s="690"/>
      <c r="M333" s="690"/>
      <c r="N333" s="690"/>
      <c r="O333" s="690"/>
      <c r="P333" s="691"/>
      <c r="Q333" s="628"/>
      <c r="R333" s="630"/>
      <c r="S333" s="100"/>
      <c r="T333" s="101"/>
      <c r="U333" s="100"/>
      <c r="V333" s="628"/>
      <c r="W333" s="630"/>
      <c r="X333" s="689"/>
      <c r="Y333" s="690"/>
      <c r="Z333" s="690"/>
      <c r="AA333" s="690"/>
      <c r="AB333" s="690"/>
      <c r="AC333" s="690"/>
      <c r="AD333" s="691"/>
      <c r="AE333" s="622"/>
      <c r="AF333" s="623"/>
      <c r="AG333" s="623"/>
      <c r="AH333" s="624"/>
      <c r="AI333" s="628"/>
      <c r="AJ333" s="629"/>
      <c r="AK333" s="629"/>
      <c r="AL333" s="629"/>
      <c r="AM333" s="629"/>
      <c r="AN333" s="629"/>
      <c r="AO333" s="629"/>
      <c r="AP333" s="630"/>
      <c r="AR333" s="119"/>
      <c r="AS333" s="119"/>
    </row>
    <row r="334" spans="1:45" ht="27" customHeight="1" x14ac:dyDescent="0.4">
      <c r="B334" s="586"/>
      <c r="C334" s="767"/>
      <c r="D334" s="768"/>
      <c r="E334" s="769"/>
      <c r="F334" s="625"/>
      <c r="G334" s="626"/>
      <c r="H334" s="626"/>
      <c r="I334" s="627"/>
      <c r="J334" s="692"/>
      <c r="K334" s="693"/>
      <c r="L334" s="693"/>
      <c r="M334" s="693"/>
      <c r="N334" s="693"/>
      <c r="O334" s="693"/>
      <c r="P334" s="694"/>
      <c r="Q334" s="631"/>
      <c r="R334" s="633"/>
      <c r="S334" s="100"/>
      <c r="T334" s="101"/>
      <c r="U334" s="100"/>
      <c r="V334" s="631"/>
      <c r="W334" s="633"/>
      <c r="X334" s="692"/>
      <c r="Y334" s="693"/>
      <c r="Z334" s="693"/>
      <c r="AA334" s="693"/>
      <c r="AB334" s="693"/>
      <c r="AC334" s="693"/>
      <c r="AD334" s="694"/>
      <c r="AE334" s="625"/>
      <c r="AF334" s="626"/>
      <c r="AG334" s="626"/>
      <c r="AH334" s="627"/>
      <c r="AI334" s="631"/>
      <c r="AJ334" s="632"/>
      <c r="AK334" s="632"/>
      <c r="AL334" s="632"/>
      <c r="AM334" s="632"/>
      <c r="AN334" s="632"/>
      <c r="AO334" s="632"/>
      <c r="AP334" s="633"/>
      <c r="AR334" s="119"/>
      <c r="AS334" s="119"/>
    </row>
    <row r="335" spans="1:45" ht="27" customHeight="1" thickBot="1" x14ac:dyDescent="0.45">
      <c r="A335" s="102"/>
      <c r="B335" s="103"/>
      <c r="C335" s="104"/>
      <c r="D335" s="104"/>
      <c r="E335" s="104"/>
      <c r="F335" s="103"/>
      <c r="G335" s="103"/>
      <c r="H335" s="103"/>
      <c r="I335" s="103"/>
      <c r="J335" s="103"/>
      <c r="K335" s="105"/>
      <c r="L335" s="105"/>
      <c r="M335" s="106"/>
      <c r="N335" s="107"/>
      <c r="O335" s="106"/>
      <c r="P335" s="105"/>
      <c r="Q335" s="105"/>
      <c r="R335" s="103"/>
      <c r="S335" s="103"/>
      <c r="T335" s="103"/>
      <c r="U335" s="103"/>
      <c r="V335" s="103"/>
      <c r="W335" s="108"/>
      <c r="X335" s="108"/>
      <c r="Y335" s="108"/>
      <c r="Z335" s="108"/>
      <c r="AA335" s="108"/>
      <c r="AB335" s="108"/>
      <c r="AC335" s="102"/>
    </row>
    <row r="336" spans="1:45" ht="27" customHeight="1" thickBot="1" x14ac:dyDescent="0.45">
      <c r="D336" s="664" t="s">
        <v>8</v>
      </c>
      <c r="E336" s="665"/>
      <c r="F336" s="665"/>
      <c r="G336" s="665"/>
      <c r="H336" s="665"/>
      <c r="I336" s="666"/>
      <c r="J336" s="667" t="s">
        <v>5</v>
      </c>
      <c r="K336" s="665"/>
      <c r="L336" s="665"/>
      <c r="M336" s="665"/>
      <c r="N336" s="665"/>
      <c r="O336" s="665"/>
      <c r="P336" s="665"/>
      <c r="Q336" s="666"/>
      <c r="R336" s="668" t="s">
        <v>9</v>
      </c>
      <c r="S336" s="669"/>
      <c r="T336" s="669"/>
      <c r="U336" s="669"/>
      <c r="V336" s="669"/>
      <c r="W336" s="669"/>
      <c r="X336" s="669"/>
      <c r="Y336" s="669"/>
      <c r="Z336" s="670"/>
      <c r="AA336" s="609" t="s">
        <v>10</v>
      </c>
      <c r="AB336" s="610"/>
      <c r="AC336" s="671"/>
      <c r="AD336" s="609" t="s">
        <v>11</v>
      </c>
      <c r="AE336" s="610"/>
      <c r="AF336" s="610"/>
      <c r="AG336" s="610"/>
      <c r="AH336" s="610"/>
      <c r="AI336" s="610"/>
      <c r="AJ336" s="610"/>
      <c r="AK336" s="610"/>
      <c r="AL336" s="610"/>
      <c r="AM336" s="611"/>
    </row>
    <row r="337" spans="1:45" ht="27" customHeight="1" x14ac:dyDescent="0.4">
      <c r="D337" s="651" t="s">
        <v>298</v>
      </c>
      <c r="E337" s="652"/>
      <c r="F337" s="652"/>
      <c r="G337" s="652"/>
      <c r="H337" s="652"/>
      <c r="I337" s="653"/>
      <c r="J337" s="654"/>
      <c r="K337" s="652"/>
      <c r="L337" s="652"/>
      <c r="M337" s="652"/>
      <c r="N337" s="652"/>
      <c r="O337" s="652"/>
      <c r="P337" s="652"/>
      <c r="Q337" s="653"/>
      <c r="R337" s="655"/>
      <c r="S337" s="656"/>
      <c r="T337" s="656"/>
      <c r="U337" s="656"/>
      <c r="V337" s="656"/>
      <c r="W337" s="656"/>
      <c r="X337" s="656"/>
      <c r="Y337" s="656"/>
      <c r="Z337" s="657"/>
      <c r="AA337" s="658"/>
      <c r="AB337" s="659"/>
      <c r="AC337" s="660"/>
      <c r="AD337" s="661"/>
      <c r="AE337" s="662"/>
      <c r="AF337" s="662"/>
      <c r="AG337" s="662"/>
      <c r="AH337" s="662"/>
      <c r="AI337" s="662"/>
      <c r="AJ337" s="662"/>
      <c r="AK337" s="662"/>
      <c r="AL337" s="662"/>
      <c r="AM337" s="663"/>
    </row>
    <row r="338" spans="1:45" ht="27" customHeight="1" x14ac:dyDescent="0.4">
      <c r="D338" s="688" t="s">
        <v>12</v>
      </c>
      <c r="E338" s="604"/>
      <c r="F338" s="604"/>
      <c r="G338" s="604"/>
      <c r="H338" s="604"/>
      <c r="I338" s="605"/>
      <c r="J338" s="603"/>
      <c r="K338" s="604"/>
      <c r="L338" s="604"/>
      <c r="M338" s="604"/>
      <c r="N338" s="604"/>
      <c r="O338" s="604"/>
      <c r="P338" s="604"/>
      <c r="Q338" s="605"/>
      <c r="R338" s="606"/>
      <c r="S338" s="607"/>
      <c r="T338" s="607"/>
      <c r="U338" s="607"/>
      <c r="V338" s="607"/>
      <c r="W338" s="607"/>
      <c r="X338" s="607"/>
      <c r="Y338" s="607"/>
      <c r="Z338" s="608"/>
      <c r="AA338" s="606"/>
      <c r="AB338" s="607"/>
      <c r="AC338" s="608"/>
      <c r="AD338" s="672"/>
      <c r="AE338" s="673"/>
      <c r="AF338" s="673"/>
      <c r="AG338" s="673"/>
      <c r="AH338" s="673"/>
      <c r="AI338" s="673"/>
      <c r="AJ338" s="673"/>
      <c r="AK338" s="673"/>
      <c r="AL338" s="673"/>
      <c r="AM338" s="674"/>
    </row>
    <row r="339" spans="1:45" ht="27" customHeight="1" thickBot="1" x14ac:dyDescent="0.45">
      <c r="D339" s="675" t="s">
        <v>12</v>
      </c>
      <c r="E339" s="676"/>
      <c r="F339" s="676"/>
      <c r="G339" s="676"/>
      <c r="H339" s="676"/>
      <c r="I339" s="677"/>
      <c r="J339" s="678"/>
      <c r="K339" s="676"/>
      <c r="L339" s="676"/>
      <c r="M339" s="676"/>
      <c r="N339" s="676"/>
      <c r="O339" s="676"/>
      <c r="P339" s="676"/>
      <c r="Q339" s="677"/>
      <c r="R339" s="679"/>
      <c r="S339" s="680"/>
      <c r="T339" s="680"/>
      <c r="U339" s="680"/>
      <c r="V339" s="680"/>
      <c r="W339" s="680"/>
      <c r="X339" s="680"/>
      <c r="Y339" s="680"/>
      <c r="Z339" s="681"/>
      <c r="AA339" s="682"/>
      <c r="AB339" s="683"/>
      <c r="AC339" s="684"/>
      <c r="AD339" s="685"/>
      <c r="AE339" s="686"/>
      <c r="AF339" s="686"/>
      <c r="AG339" s="686"/>
      <c r="AH339" s="686"/>
      <c r="AI339" s="686"/>
      <c r="AJ339" s="686"/>
      <c r="AK339" s="686"/>
      <c r="AL339" s="686"/>
      <c r="AM339" s="687"/>
    </row>
    <row r="340" spans="1:45" ht="27" customHeight="1" x14ac:dyDescent="0.4"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7"/>
      <c r="AB340" s="107"/>
      <c r="AC340" s="107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</row>
    <row r="341" spans="1:45" ht="27" customHeight="1" x14ac:dyDescent="0.4">
      <c r="A341" s="115"/>
      <c r="B341" s="599" t="str">
        <f>U12組合せ!$B$1</f>
        <v>ＪＦＡ　Ｕ-１２サッカーリーグ2021（in栃木） 宇都宮地区リーグ戦（前期）</v>
      </c>
      <c r="C341" s="599"/>
      <c r="D341" s="599"/>
      <c r="E341" s="599"/>
      <c r="F341" s="599"/>
      <c r="G341" s="599"/>
      <c r="H341" s="599"/>
      <c r="I341" s="599"/>
      <c r="J341" s="599"/>
      <c r="K341" s="599"/>
      <c r="L341" s="599"/>
      <c r="M341" s="599"/>
      <c r="N341" s="599"/>
      <c r="O341" s="599"/>
      <c r="P341" s="599"/>
      <c r="Q341" s="599"/>
      <c r="R341" s="599"/>
      <c r="S341" s="599"/>
      <c r="T341" s="599"/>
      <c r="U341" s="599"/>
      <c r="V341" s="599"/>
      <c r="W341" s="599"/>
      <c r="X341" s="599"/>
      <c r="Y341" s="599"/>
      <c r="Z341" s="599"/>
      <c r="AA341" s="599"/>
      <c r="AB341" s="599"/>
      <c r="AC341" s="612" t="str">
        <f>"【"&amp;(U12組合せ!$F$3)&amp;"】"</f>
        <v>【Ｂ ブロック】</v>
      </c>
      <c r="AD341" s="612"/>
      <c r="AE341" s="612"/>
      <c r="AF341" s="612"/>
      <c r="AG341" s="612"/>
      <c r="AH341" s="612"/>
      <c r="AI341" s="612"/>
      <c r="AJ341" s="612"/>
      <c r="AK341" s="602" t="str">
        <f>"第"&amp;(U12組合せ!$D$39)</f>
        <v>第４節</v>
      </c>
      <c r="AL341" s="602"/>
      <c r="AM341" s="602"/>
      <c r="AN341" s="602"/>
      <c r="AO341" s="602"/>
      <c r="AP341" s="597" t="s">
        <v>301</v>
      </c>
      <c r="AQ341" s="598"/>
    </row>
    <row r="342" spans="1:45" ht="27" customHeight="1" x14ac:dyDescent="0.4">
      <c r="A342" s="115"/>
      <c r="B342" s="599"/>
      <c r="C342" s="599"/>
      <c r="D342" s="599"/>
      <c r="E342" s="599"/>
      <c r="F342" s="599"/>
      <c r="G342" s="599"/>
      <c r="H342" s="599"/>
      <c r="I342" s="599"/>
      <c r="J342" s="599"/>
      <c r="K342" s="599"/>
      <c r="L342" s="599"/>
      <c r="M342" s="599"/>
      <c r="N342" s="599"/>
      <c r="O342" s="599"/>
      <c r="P342" s="599"/>
      <c r="Q342" s="599"/>
      <c r="R342" s="599"/>
      <c r="S342" s="599"/>
      <c r="T342" s="599"/>
      <c r="U342" s="599"/>
      <c r="V342" s="599"/>
      <c r="W342" s="599"/>
      <c r="X342" s="599"/>
      <c r="Y342" s="599"/>
      <c r="Z342" s="599"/>
      <c r="AA342" s="599"/>
      <c r="AB342" s="599"/>
      <c r="AC342" s="601"/>
      <c r="AD342" s="601"/>
      <c r="AE342" s="601"/>
      <c r="AF342" s="601"/>
      <c r="AG342" s="601"/>
      <c r="AH342" s="601"/>
      <c r="AI342" s="601"/>
      <c r="AJ342" s="601"/>
      <c r="AK342" s="601"/>
      <c r="AL342" s="601"/>
      <c r="AM342" s="601"/>
      <c r="AN342" s="601"/>
      <c r="AO342" s="612"/>
      <c r="AP342" s="598"/>
      <c r="AQ342" s="598"/>
    </row>
    <row r="343" spans="1:45" ht="27" customHeight="1" x14ac:dyDescent="0.4">
      <c r="C343" s="635" t="s">
        <v>1</v>
      </c>
      <c r="D343" s="635"/>
      <c r="E343" s="635"/>
      <c r="F343" s="635"/>
      <c r="G343" s="725" t="str">
        <f>U12対戦スケジュール!I94</f>
        <v>陽南小　AM</v>
      </c>
      <c r="H343" s="726"/>
      <c r="I343" s="726"/>
      <c r="J343" s="726"/>
      <c r="K343" s="726"/>
      <c r="L343" s="726"/>
      <c r="M343" s="726"/>
      <c r="N343" s="726"/>
      <c r="O343" s="727"/>
      <c r="P343" s="635" t="s">
        <v>0</v>
      </c>
      <c r="Q343" s="635"/>
      <c r="R343" s="635"/>
      <c r="S343" s="635"/>
      <c r="T343" s="725" t="str">
        <f>E347</f>
        <v>緑ヶ丘ＹＦＣ</v>
      </c>
      <c r="U343" s="726"/>
      <c r="V343" s="726"/>
      <c r="W343" s="726"/>
      <c r="X343" s="726"/>
      <c r="Y343" s="726"/>
      <c r="Z343" s="726"/>
      <c r="AA343" s="726"/>
      <c r="AB343" s="727"/>
      <c r="AC343" s="635" t="s">
        <v>2</v>
      </c>
      <c r="AD343" s="635"/>
      <c r="AE343" s="635"/>
      <c r="AF343" s="635"/>
      <c r="AG343" s="618">
        <f>U12組合せ!B$39</f>
        <v>44353</v>
      </c>
      <c r="AH343" s="619"/>
      <c r="AI343" s="619"/>
      <c r="AJ343" s="619"/>
      <c r="AK343" s="619"/>
      <c r="AL343" s="619"/>
      <c r="AM343" s="620" t="str">
        <f>"（"&amp;TEXT(AG343,"aaa")&amp;"）"</f>
        <v>（日）</v>
      </c>
      <c r="AN343" s="620"/>
      <c r="AO343" s="621"/>
      <c r="AP343" s="116"/>
    </row>
    <row r="344" spans="1:45" ht="27" customHeight="1" x14ac:dyDescent="0.4">
      <c r="C344" s="96" t="str">
        <f>U12組合せ!G44</f>
        <v>B357</v>
      </c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95"/>
      <c r="X344" s="95"/>
      <c r="Y344" s="95"/>
      <c r="Z344" s="95"/>
      <c r="AA344" s="95"/>
      <c r="AB344" s="95"/>
      <c r="AC344" s="95"/>
    </row>
    <row r="345" spans="1:45" ht="27" customHeight="1" x14ac:dyDescent="0.4">
      <c r="C345" s="637">
        <v>1</v>
      </c>
      <c r="D345" s="637"/>
      <c r="E345" s="584" t="str">
        <f>VLOOKUP(C345,U12組合せ!B$10:K$19,5,TRUE)</f>
        <v>スポルト宇都宮U12</v>
      </c>
      <c r="F345" s="584"/>
      <c r="G345" s="584"/>
      <c r="H345" s="584"/>
      <c r="I345" s="584"/>
      <c r="J345" s="584"/>
      <c r="K345" s="584"/>
      <c r="L345" s="584"/>
      <c r="M345" s="584"/>
      <c r="N345" s="584"/>
      <c r="O345" s="94"/>
      <c r="P345" s="94"/>
      <c r="Q345" s="637">
        <v>4</v>
      </c>
      <c r="R345" s="637"/>
      <c r="S345" s="584" t="str">
        <f>VLOOKUP(Q345,U12組合せ!B$10:K$19,5,TRUE)</f>
        <v>昭和・戸祭SC</v>
      </c>
      <c r="T345" s="584"/>
      <c r="U345" s="584"/>
      <c r="V345" s="584"/>
      <c r="W345" s="584"/>
      <c r="X345" s="584"/>
      <c r="Y345" s="584"/>
      <c r="Z345" s="584"/>
      <c r="AA345" s="584"/>
      <c r="AB345" s="584"/>
      <c r="AC345" s="92"/>
      <c r="AD345" s="93"/>
      <c r="AE345" s="636">
        <v>7</v>
      </c>
      <c r="AF345" s="636"/>
      <c r="AG345" s="709" t="str">
        <f>VLOOKUP(AE345,U12組合せ!B$10:'U12組合せ'!K$19,5,TRUE)</f>
        <v>上三川SC</v>
      </c>
      <c r="AH345" s="709"/>
      <c r="AI345" s="709"/>
      <c r="AJ345" s="709"/>
      <c r="AK345" s="709"/>
      <c r="AL345" s="709"/>
      <c r="AM345" s="709"/>
      <c r="AN345" s="709"/>
      <c r="AO345" s="709"/>
      <c r="AP345" s="709"/>
      <c r="AR345" s="96">
        <f>352/2</f>
        <v>176</v>
      </c>
    </row>
    <row r="346" spans="1:45" ht="27" customHeight="1" x14ac:dyDescent="0.4">
      <c r="C346" s="637">
        <v>2</v>
      </c>
      <c r="D346" s="637"/>
      <c r="E346" s="584" t="str">
        <f>VLOOKUP(C346,U12組合せ!B$10:K$19,5,TRUE)</f>
        <v>ウエストフットコム</v>
      </c>
      <c r="F346" s="584"/>
      <c r="G346" s="584"/>
      <c r="H346" s="584"/>
      <c r="I346" s="584"/>
      <c r="J346" s="584"/>
      <c r="K346" s="584"/>
      <c r="L346" s="584"/>
      <c r="M346" s="584"/>
      <c r="N346" s="584"/>
      <c r="O346" s="94"/>
      <c r="P346" s="94"/>
      <c r="Q346" s="636">
        <v>5</v>
      </c>
      <c r="R346" s="636"/>
      <c r="S346" s="709" t="str">
        <f>VLOOKUP(Q346,U12組合せ!B$10:K$19,5,TRUE)</f>
        <v>岡西FC</v>
      </c>
      <c r="T346" s="709"/>
      <c r="U346" s="709"/>
      <c r="V346" s="709"/>
      <c r="W346" s="709"/>
      <c r="X346" s="709"/>
      <c r="Y346" s="709"/>
      <c r="Z346" s="709"/>
      <c r="AA346" s="709"/>
      <c r="AB346" s="709"/>
      <c r="AC346" s="92"/>
      <c r="AD346" s="93"/>
      <c r="AE346" s="637">
        <v>8</v>
      </c>
      <c r="AF346" s="637"/>
      <c r="AG346" s="584" t="str">
        <f>VLOOKUP(AE346,U12組合せ!B$10:'U12組合せ'!K$19,5,TRUE)</f>
        <v>宇都宮FCジュニア</v>
      </c>
      <c r="AH346" s="584"/>
      <c r="AI346" s="584"/>
      <c r="AJ346" s="584"/>
      <c r="AK346" s="584"/>
      <c r="AL346" s="584"/>
      <c r="AM346" s="584"/>
      <c r="AN346" s="584"/>
      <c r="AO346" s="584"/>
      <c r="AP346" s="584"/>
      <c r="AR346" s="96">
        <v>96</v>
      </c>
    </row>
    <row r="347" spans="1:45" ht="27" customHeight="1" x14ac:dyDescent="0.4">
      <c r="C347" s="636">
        <v>3</v>
      </c>
      <c r="D347" s="636"/>
      <c r="E347" s="709" t="str">
        <f>VLOOKUP(C347,U12組合せ!B$10:K$19,5,TRUE)</f>
        <v>緑ヶ丘ＹＦＣ</v>
      </c>
      <c r="F347" s="709"/>
      <c r="G347" s="709"/>
      <c r="H347" s="709"/>
      <c r="I347" s="709"/>
      <c r="J347" s="709"/>
      <c r="K347" s="709"/>
      <c r="L347" s="709"/>
      <c r="M347" s="709"/>
      <c r="N347" s="709"/>
      <c r="O347" s="94"/>
      <c r="P347" s="94"/>
      <c r="Q347" s="637">
        <v>6</v>
      </c>
      <c r="R347" s="637"/>
      <c r="S347" s="584" t="str">
        <f>VLOOKUP(Q347,U12組合せ!B$10:K$19,5,TRUE)</f>
        <v>FCグラシアス</v>
      </c>
      <c r="T347" s="584"/>
      <c r="U347" s="584"/>
      <c r="V347" s="584"/>
      <c r="W347" s="584"/>
      <c r="X347" s="584"/>
      <c r="Y347" s="584"/>
      <c r="Z347" s="584"/>
      <c r="AA347" s="584"/>
      <c r="AB347" s="584"/>
      <c r="AC347" s="92"/>
      <c r="AD347" s="93"/>
      <c r="AE347" s="637">
        <v>9</v>
      </c>
      <c r="AF347" s="637"/>
      <c r="AG347" s="584" t="str">
        <f>VLOOKUP(AE347,U12組合せ!B$10:'U12組合せ'!K$19,5,TRUE)</f>
        <v>サウス宇都宮SC</v>
      </c>
      <c r="AH347" s="584"/>
      <c r="AI347" s="584"/>
      <c r="AJ347" s="584"/>
      <c r="AK347" s="584"/>
      <c r="AL347" s="584"/>
      <c r="AM347" s="584"/>
      <c r="AN347" s="584"/>
      <c r="AO347" s="584"/>
      <c r="AP347" s="584"/>
      <c r="AR347" s="96">
        <f>AR345-AR346</f>
        <v>80</v>
      </c>
    </row>
    <row r="348" spans="1:45" ht="27" customHeight="1" x14ac:dyDescent="0.4">
      <c r="B348" s="102"/>
      <c r="O348" s="102"/>
      <c r="P348" s="102"/>
      <c r="AC348" s="95"/>
      <c r="AD348" s="102"/>
      <c r="AE348" s="102"/>
      <c r="AF348" s="102"/>
      <c r="AG348" s="102"/>
    </row>
    <row r="349" spans="1:45" ht="27" customHeight="1" x14ac:dyDescent="0.4">
      <c r="C349" s="117"/>
      <c r="D349" s="118"/>
      <c r="E349" s="118"/>
      <c r="F349" s="118"/>
      <c r="G349" s="118"/>
      <c r="H349" s="118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18"/>
      <c r="U349" s="102"/>
      <c r="V349" s="118"/>
      <c r="W349" s="102"/>
      <c r="X349" s="118"/>
      <c r="Y349" s="102"/>
      <c r="Z349" s="118"/>
      <c r="AA349" s="102"/>
      <c r="AB349" s="118"/>
      <c r="AC349" s="118"/>
    </row>
    <row r="350" spans="1:45" ht="27" customHeight="1" x14ac:dyDescent="0.4">
      <c r="B350" s="118" t="str">
        <f ca="1">IF(B352="①","【監督会議 8：20～】","【監督会議 12：50～】")</f>
        <v>【監督会議 8：20～】</v>
      </c>
      <c r="I350" s="96" t="s">
        <v>330</v>
      </c>
    </row>
    <row r="351" spans="1:45" ht="27" customHeight="1" x14ac:dyDescent="0.4">
      <c r="B351" s="97"/>
      <c r="C351" s="711" t="s">
        <v>3</v>
      </c>
      <c r="D351" s="711"/>
      <c r="E351" s="711"/>
      <c r="F351" s="712" t="s">
        <v>4</v>
      </c>
      <c r="G351" s="712"/>
      <c r="H351" s="712"/>
      <c r="I351" s="712"/>
      <c r="J351" s="711" t="s">
        <v>5</v>
      </c>
      <c r="K351" s="713"/>
      <c r="L351" s="713"/>
      <c r="M351" s="713"/>
      <c r="N351" s="713"/>
      <c r="O351" s="713"/>
      <c r="P351" s="713"/>
      <c r="Q351" s="711" t="s">
        <v>32</v>
      </c>
      <c r="R351" s="711"/>
      <c r="S351" s="711"/>
      <c r="T351" s="711"/>
      <c r="U351" s="711"/>
      <c r="V351" s="711"/>
      <c r="W351" s="711"/>
      <c r="X351" s="711" t="s">
        <v>5</v>
      </c>
      <c r="Y351" s="713"/>
      <c r="Z351" s="713"/>
      <c r="AA351" s="713"/>
      <c r="AB351" s="713"/>
      <c r="AC351" s="713"/>
      <c r="AD351" s="713"/>
      <c r="AE351" s="712" t="s">
        <v>4</v>
      </c>
      <c r="AF351" s="712"/>
      <c r="AG351" s="712"/>
      <c r="AH351" s="712"/>
      <c r="AI351" s="711" t="s">
        <v>6</v>
      </c>
      <c r="AJ351" s="711"/>
      <c r="AK351" s="713"/>
      <c r="AL351" s="713"/>
      <c r="AM351" s="713"/>
      <c r="AN351" s="713"/>
      <c r="AO351" s="713"/>
      <c r="AP351" s="713"/>
    </row>
    <row r="352" spans="1:45" ht="27" customHeight="1" x14ac:dyDescent="0.4">
      <c r="B352" s="644" t="str">
        <f ca="1">DBCS(INDIRECT("U12対戦スケジュール!ｇ"&amp;(ROW())/2-AR$347))</f>
        <v>①</v>
      </c>
      <c r="C352" s="645">
        <f ca="1">INDIRECT("U12対戦スケジュール!ｈ"&amp;(ROW())/2-AR$347)</f>
        <v>0.375</v>
      </c>
      <c r="D352" s="646"/>
      <c r="E352" s="647"/>
      <c r="F352" s="583"/>
      <c r="G352" s="583"/>
      <c r="H352" s="583"/>
      <c r="I352" s="583"/>
      <c r="J352" s="746" t="str">
        <f ca="1">VLOOKUP(AR352,U12組合せ!B$10:K$19,5,TRUE)</f>
        <v>緑ヶ丘ＹＦＣ</v>
      </c>
      <c r="K352" s="747"/>
      <c r="L352" s="747"/>
      <c r="M352" s="747"/>
      <c r="N352" s="747"/>
      <c r="O352" s="747"/>
      <c r="P352" s="747"/>
      <c r="Q352" s="628" t="str">
        <f>IF(OR(S352="",S353=""),"",S352+S353)</f>
        <v/>
      </c>
      <c r="R352" s="630"/>
      <c r="S352" s="100"/>
      <c r="T352" s="101" t="s">
        <v>7</v>
      </c>
      <c r="U352" s="100"/>
      <c r="V352" s="628" t="str">
        <f>IF(OR(U352="",U353=""),"",U352+U353)</f>
        <v/>
      </c>
      <c r="W352" s="630"/>
      <c r="X352" s="746" t="str">
        <f ca="1">VLOOKUP(AS352,U12組合せ!B$10:K$19,5,TRUE)</f>
        <v>岡西FC</v>
      </c>
      <c r="Y352" s="747"/>
      <c r="Z352" s="747"/>
      <c r="AA352" s="747"/>
      <c r="AB352" s="747"/>
      <c r="AC352" s="747"/>
      <c r="AD352" s="747"/>
      <c r="AE352" s="583"/>
      <c r="AF352" s="583"/>
      <c r="AG352" s="583"/>
      <c r="AH352" s="583"/>
      <c r="AI352" s="758" t="str">
        <f ca="1">DBCS(INDIRECT("U12対戦スケジュール!L"&amp;(ROW())/2-AR$347))</f>
        <v>７／３／５／７</v>
      </c>
      <c r="AJ352" s="759"/>
      <c r="AK352" s="759"/>
      <c r="AL352" s="759"/>
      <c r="AM352" s="759"/>
      <c r="AN352" s="759"/>
      <c r="AO352" s="759"/>
      <c r="AP352" s="760"/>
      <c r="AR352" s="119">
        <f ca="1">INDIRECT("U12対戦スケジュール!I"&amp;(ROW())/2-AR$347)</f>
        <v>3</v>
      </c>
      <c r="AS352" s="119">
        <f ca="1">INDIRECT("U12対戦スケジュール!K"&amp;(ROW())/2-AR$347)</f>
        <v>5</v>
      </c>
    </row>
    <row r="353" spans="1:45" ht="27" customHeight="1" x14ac:dyDescent="0.4">
      <c r="B353" s="644"/>
      <c r="C353" s="648"/>
      <c r="D353" s="649"/>
      <c r="E353" s="650"/>
      <c r="F353" s="583"/>
      <c r="G353" s="583"/>
      <c r="H353" s="583"/>
      <c r="I353" s="583"/>
      <c r="J353" s="747"/>
      <c r="K353" s="747"/>
      <c r="L353" s="747"/>
      <c r="M353" s="747"/>
      <c r="N353" s="747"/>
      <c r="O353" s="747"/>
      <c r="P353" s="747"/>
      <c r="Q353" s="631"/>
      <c r="R353" s="633"/>
      <c r="S353" s="100"/>
      <c r="T353" s="101" t="s">
        <v>7</v>
      </c>
      <c r="U353" s="100"/>
      <c r="V353" s="631"/>
      <c r="W353" s="633"/>
      <c r="X353" s="747"/>
      <c r="Y353" s="747"/>
      <c r="Z353" s="747"/>
      <c r="AA353" s="747"/>
      <c r="AB353" s="747"/>
      <c r="AC353" s="747"/>
      <c r="AD353" s="747"/>
      <c r="AE353" s="583"/>
      <c r="AF353" s="583"/>
      <c r="AG353" s="583"/>
      <c r="AH353" s="583"/>
      <c r="AI353" s="761"/>
      <c r="AJ353" s="762"/>
      <c r="AK353" s="762"/>
      <c r="AL353" s="762"/>
      <c r="AM353" s="762"/>
      <c r="AN353" s="762"/>
      <c r="AO353" s="762"/>
      <c r="AP353" s="763"/>
      <c r="AR353" s="119"/>
      <c r="AS353" s="119"/>
    </row>
    <row r="354" spans="1:45" ht="27" customHeight="1" x14ac:dyDescent="0.4">
      <c r="B354" s="644" t="str">
        <f ca="1">DBCS(INDIRECT("U12対戦スケジュール!ｇ"&amp;(ROW())/2-AR$347))</f>
        <v>②</v>
      </c>
      <c r="C354" s="645">
        <f ca="1">INDIRECT("U12対戦スケジュール!ｈ"&amp;(ROW())/2-AR$347)</f>
        <v>0.41699999999999998</v>
      </c>
      <c r="D354" s="646"/>
      <c r="E354" s="647"/>
      <c r="F354" s="583"/>
      <c r="G354" s="583"/>
      <c r="H354" s="583"/>
      <c r="I354" s="583"/>
      <c r="J354" s="746" t="str">
        <f ca="1">VLOOKUP(AR354,U12組合せ!B$10:K$19,5,TRUE)</f>
        <v>上三川SC</v>
      </c>
      <c r="K354" s="747"/>
      <c r="L354" s="747"/>
      <c r="M354" s="747"/>
      <c r="N354" s="747"/>
      <c r="O354" s="747"/>
      <c r="P354" s="747"/>
      <c r="Q354" s="634" t="str">
        <f>IF(OR(S354="",S355=""),"",S354+S355)</f>
        <v/>
      </c>
      <c r="R354" s="634"/>
      <c r="S354" s="100"/>
      <c r="T354" s="101" t="s">
        <v>7</v>
      </c>
      <c r="U354" s="100"/>
      <c r="V354" s="634" t="str">
        <f>IF(OR(U354="",U355=""),"",U354+U355)</f>
        <v/>
      </c>
      <c r="W354" s="634"/>
      <c r="X354" s="746" t="str">
        <f ca="1">VLOOKUP(AS354,U12組合せ!B$10:K$19,5,TRUE)</f>
        <v>岡西FC</v>
      </c>
      <c r="Y354" s="747"/>
      <c r="Z354" s="747"/>
      <c r="AA354" s="747"/>
      <c r="AB354" s="747"/>
      <c r="AC354" s="747"/>
      <c r="AD354" s="747"/>
      <c r="AE354" s="583"/>
      <c r="AF354" s="583"/>
      <c r="AG354" s="583"/>
      <c r="AH354" s="583"/>
      <c r="AI354" s="758" t="str">
        <f ca="1">DBCS(INDIRECT("U12対戦スケジュール!L"&amp;(ROW())/2-AR$347))</f>
        <v>３／５／７／３</v>
      </c>
      <c r="AJ354" s="759"/>
      <c r="AK354" s="759"/>
      <c r="AL354" s="759"/>
      <c r="AM354" s="759"/>
      <c r="AN354" s="759"/>
      <c r="AO354" s="759"/>
      <c r="AP354" s="760"/>
      <c r="AR354" s="119">
        <f ca="1">INDIRECT("U12対戦スケジュール!I"&amp;(ROW())/2-AR$347)</f>
        <v>7</v>
      </c>
      <c r="AS354" s="119">
        <f ca="1">INDIRECT("U12対戦スケジュール!K"&amp;(ROW())/2-AR$347)</f>
        <v>5</v>
      </c>
    </row>
    <row r="355" spans="1:45" ht="27" customHeight="1" x14ac:dyDescent="0.4">
      <c r="B355" s="644"/>
      <c r="C355" s="648"/>
      <c r="D355" s="649"/>
      <c r="E355" s="650"/>
      <c r="F355" s="583"/>
      <c r="G355" s="583"/>
      <c r="H355" s="583"/>
      <c r="I355" s="583"/>
      <c r="J355" s="747"/>
      <c r="K355" s="747"/>
      <c r="L355" s="747"/>
      <c r="M355" s="747"/>
      <c r="N355" s="747"/>
      <c r="O355" s="747"/>
      <c r="P355" s="747"/>
      <c r="Q355" s="634"/>
      <c r="R355" s="634"/>
      <c r="S355" s="100"/>
      <c r="T355" s="101" t="s">
        <v>7</v>
      </c>
      <c r="U355" s="100"/>
      <c r="V355" s="634"/>
      <c r="W355" s="634"/>
      <c r="X355" s="747"/>
      <c r="Y355" s="747"/>
      <c r="Z355" s="747"/>
      <c r="AA355" s="747"/>
      <c r="AB355" s="747"/>
      <c r="AC355" s="747"/>
      <c r="AD355" s="747"/>
      <c r="AE355" s="583"/>
      <c r="AF355" s="583"/>
      <c r="AG355" s="583"/>
      <c r="AH355" s="583"/>
      <c r="AI355" s="761"/>
      <c r="AJ355" s="762"/>
      <c r="AK355" s="762"/>
      <c r="AL355" s="762"/>
      <c r="AM355" s="762"/>
      <c r="AN355" s="762"/>
      <c r="AO355" s="762"/>
      <c r="AP355" s="763"/>
      <c r="AR355" s="119"/>
      <c r="AS355" s="119"/>
    </row>
    <row r="356" spans="1:45" ht="27" customHeight="1" x14ac:dyDescent="0.4">
      <c r="B356" s="644" t="str">
        <f ca="1">DBCS(INDIRECT("U12対戦スケジュール!ｇ"&amp;(ROW())/2-AR$347))</f>
        <v>③</v>
      </c>
      <c r="C356" s="645">
        <f ca="1">INDIRECT("U12対戦スケジュール!ｈ"&amp;(ROW())/2-AR$347)</f>
        <v>0.45899999999999996</v>
      </c>
      <c r="D356" s="646"/>
      <c r="E356" s="647"/>
      <c r="F356" s="583"/>
      <c r="G356" s="583"/>
      <c r="H356" s="583"/>
      <c r="I356" s="583"/>
      <c r="J356" s="746" t="str">
        <f ca="1">VLOOKUP(AR356,U12組合せ!B$10:K$19,5,TRUE)</f>
        <v>上三川SC</v>
      </c>
      <c r="K356" s="747"/>
      <c r="L356" s="747"/>
      <c r="M356" s="747"/>
      <c r="N356" s="747"/>
      <c r="O356" s="747"/>
      <c r="P356" s="747"/>
      <c r="Q356" s="634" t="str">
        <f>IF(OR(S356="",S357=""),"",S356+S357)</f>
        <v/>
      </c>
      <c r="R356" s="634"/>
      <c r="S356" s="100"/>
      <c r="T356" s="101" t="s">
        <v>7</v>
      </c>
      <c r="U356" s="100"/>
      <c r="V356" s="634" t="str">
        <f>IF(OR(U356="",U357=""),"",U356+U357)</f>
        <v/>
      </c>
      <c r="W356" s="634"/>
      <c r="X356" s="746" t="str">
        <f ca="1">VLOOKUP(AS356,U12組合せ!B$10:K$19,5,TRUE)</f>
        <v>緑ヶ丘ＹＦＣ</v>
      </c>
      <c r="Y356" s="747"/>
      <c r="Z356" s="747"/>
      <c r="AA356" s="747"/>
      <c r="AB356" s="747"/>
      <c r="AC356" s="747"/>
      <c r="AD356" s="747"/>
      <c r="AE356" s="583"/>
      <c r="AF356" s="583"/>
      <c r="AG356" s="583"/>
      <c r="AH356" s="583"/>
      <c r="AI356" s="758" t="str">
        <f ca="1">DBCS(INDIRECT("U12対戦スケジュール!L"&amp;(ROW())/2-AR$347))</f>
        <v>５／７／３／５</v>
      </c>
      <c r="AJ356" s="759"/>
      <c r="AK356" s="759"/>
      <c r="AL356" s="759"/>
      <c r="AM356" s="759"/>
      <c r="AN356" s="759"/>
      <c r="AO356" s="759"/>
      <c r="AP356" s="760"/>
      <c r="AR356" s="119">
        <f ca="1">INDIRECT("U12対戦スケジュール!I"&amp;(ROW())/2-AR$347)</f>
        <v>7</v>
      </c>
      <c r="AS356" s="119">
        <f ca="1">INDIRECT("U12対戦スケジュール!K"&amp;(ROW())/2-AR$347)</f>
        <v>3</v>
      </c>
    </row>
    <row r="357" spans="1:45" ht="27" customHeight="1" x14ac:dyDescent="0.4">
      <c r="B357" s="644"/>
      <c r="C357" s="648"/>
      <c r="D357" s="649"/>
      <c r="E357" s="650"/>
      <c r="F357" s="583"/>
      <c r="G357" s="583"/>
      <c r="H357" s="583"/>
      <c r="I357" s="583"/>
      <c r="J357" s="747"/>
      <c r="K357" s="747"/>
      <c r="L357" s="747"/>
      <c r="M357" s="747"/>
      <c r="N357" s="747"/>
      <c r="O357" s="747"/>
      <c r="P357" s="747"/>
      <c r="Q357" s="634"/>
      <c r="R357" s="634"/>
      <c r="S357" s="100"/>
      <c r="T357" s="101" t="s">
        <v>7</v>
      </c>
      <c r="U357" s="100"/>
      <c r="V357" s="634"/>
      <c r="W357" s="634"/>
      <c r="X357" s="747"/>
      <c r="Y357" s="747"/>
      <c r="Z357" s="747"/>
      <c r="AA357" s="747"/>
      <c r="AB357" s="747"/>
      <c r="AC357" s="747"/>
      <c r="AD357" s="747"/>
      <c r="AE357" s="583"/>
      <c r="AF357" s="583"/>
      <c r="AG357" s="583"/>
      <c r="AH357" s="583"/>
      <c r="AI357" s="761"/>
      <c r="AJ357" s="762"/>
      <c r="AK357" s="762"/>
      <c r="AL357" s="762"/>
      <c r="AM357" s="762"/>
      <c r="AN357" s="762"/>
      <c r="AO357" s="762"/>
      <c r="AP357" s="763"/>
      <c r="AR357" s="119"/>
      <c r="AS357" s="119"/>
    </row>
    <row r="358" spans="1:45" ht="27" customHeight="1" x14ac:dyDescent="0.4">
      <c r="B358" s="586"/>
      <c r="C358" s="739"/>
      <c r="D358" s="740"/>
      <c r="E358" s="741"/>
      <c r="F358" s="704"/>
      <c r="G358" s="704"/>
      <c r="H358" s="704"/>
      <c r="I358" s="704"/>
      <c r="J358" s="701"/>
      <c r="K358" s="702"/>
      <c r="L358" s="702"/>
      <c r="M358" s="702"/>
      <c r="N358" s="702"/>
      <c r="O358" s="702"/>
      <c r="P358" s="702"/>
      <c r="Q358" s="705"/>
      <c r="R358" s="705"/>
      <c r="S358" s="109"/>
      <c r="T358" s="110"/>
      <c r="U358" s="109"/>
      <c r="V358" s="705"/>
      <c r="W358" s="705"/>
      <c r="X358" s="701"/>
      <c r="Y358" s="702"/>
      <c r="Z358" s="702"/>
      <c r="AA358" s="702"/>
      <c r="AB358" s="702"/>
      <c r="AC358" s="702"/>
      <c r="AD358" s="702"/>
      <c r="AE358" s="704"/>
      <c r="AF358" s="704"/>
      <c r="AG358" s="704"/>
      <c r="AH358" s="704"/>
      <c r="AI358" s="706"/>
      <c r="AJ358" s="707"/>
      <c r="AK358" s="707"/>
      <c r="AL358" s="707"/>
      <c r="AM358" s="707"/>
      <c r="AN358" s="707"/>
      <c r="AO358" s="707"/>
      <c r="AP358" s="707"/>
      <c r="AR358" s="119"/>
      <c r="AS358" s="119"/>
    </row>
    <row r="359" spans="1:45" ht="27" customHeight="1" x14ac:dyDescent="0.4">
      <c r="B359" s="644"/>
      <c r="C359" s="648"/>
      <c r="D359" s="649"/>
      <c r="E359" s="650"/>
      <c r="F359" s="583"/>
      <c r="G359" s="583"/>
      <c r="H359" s="583"/>
      <c r="I359" s="583"/>
      <c r="J359" s="703"/>
      <c r="K359" s="703"/>
      <c r="L359" s="703"/>
      <c r="M359" s="703"/>
      <c r="N359" s="703"/>
      <c r="O359" s="703"/>
      <c r="P359" s="703"/>
      <c r="Q359" s="634"/>
      <c r="R359" s="634"/>
      <c r="S359" s="100"/>
      <c r="T359" s="101"/>
      <c r="U359" s="100"/>
      <c r="V359" s="634"/>
      <c r="W359" s="634"/>
      <c r="X359" s="703"/>
      <c r="Y359" s="703"/>
      <c r="Z359" s="703"/>
      <c r="AA359" s="703"/>
      <c r="AB359" s="703"/>
      <c r="AC359" s="703"/>
      <c r="AD359" s="703"/>
      <c r="AE359" s="583"/>
      <c r="AF359" s="583"/>
      <c r="AG359" s="583"/>
      <c r="AH359" s="583"/>
      <c r="AI359" s="708"/>
      <c r="AJ359" s="708"/>
      <c r="AK359" s="708"/>
      <c r="AL359" s="708"/>
      <c r="AM359" s="708"/>
      <c r="AN359" s="708"/>
      <c r="AO359" s="708"/>
      <c r="AP359" s="708"/>
      <c r="AR359" s="119"/>
      <c r="AS359" s="119"/>
    </row>
    <row r="360" spans="1:45" ht="27" customHeight="1" x14ac:dyDescent="0.4">
      <c r="B360" s="585"/>
      <c r="C360" s="587"/>
      <c r="D360" s="588"/>
      <c r="E360" s="589"/>
      <c r="F360" s="622"/>
      <c r="G360" s="623"/>
      <c r="H360" s="623"/>
      <c r="I360" s="624"/>
      <c r="J360" s="689"/>
      <c r="K360" s="690"/>
      <c r="L360" s="690"/>
      <c r="M360" s="690"/>
      <c r="N360" s="690"/>
      <c r="O360" s="690"/>
      <c r="P360" s="691"/>
      <c r="Q360" s="628"/>
      <c r="R360" s="630"/>
      <c r="S360" s="100"/>
      <c r="T360" s="101"/>
      <c r="U360" s="100"/>
      <c r="V360" s="628"/>
      <c r="W360" s="630"/>
      <c r="X360" s="695"/>
      <c r="Y360" s="696"/>
      <c r="Z360" s="696"/>
      <c r="AA360" s="696"/>
      <c r="AB360" s="696"/>
      <c r="AC360" s="696"/>
      <c r="AD360" s="697"/>
      <c r="AE360" s="622"/>
      <c r="AF360" s="623"/>
      <c r="AG360" s="623"/>
      <c r="AH360" s="624"/>
      <c r="AI360" s="628"/>
      <c r="AJ360" s="629"/>
      <c r="AK360" s="629"/>
      <c r="AL360" s="629"/>
      <c r="AM360" s="629"/>
      <c r="AN360" s="629"/>
      <c r="AO360" s="629"/>
      <c r="AP360" s="630"/>
    </row>
    <row r="361" spans="1:45" ht="27" customHeight="1" x14ac:dyDescent="0.4">
      <c r="B361" s="586"/>
      <c r="C361" s="590"/>
      <c r="D361" s="591"/>
      <c r="E361" s="592"/>
      <c r="F361" s="625"/>
      <c r="G361" s="626"/>
      <c r="H361" s="626"/>
      <c r="I361" s="627"/>
      <c r="J361" s="692"/>
      <c r="K361" s="693"/>
      <c r="L361" s="693"/>
      <c r="M361" s="693"/>
      <c r="N361" s="693"/>
      <c r="O361" s="693"/>
      <c r="P361" s="694"/>
      <c r="Q361" s="631"/>
      <c r="R361" s="633"/>
      <c r="S361" s="100"/>
      <c r="T361" s="101"/>
      <c r="U361" s="100"/>
      <c r="V361" s="631"/>
      <c r="W361" s="633"/>
      <c r="X361" s="698"/>
      <c r="Y361" s="699"/>
      <c r="Z361" s="699"/>
      <c r="AA361" s="699"/>
      <c r="AB361" s="699"/>
      <c r="AC361" s="699"/>
      <c r="AD361" s="700"/>
      <c r="AE361" s="625"/>
      <c r="AF361" s="626"/>
      <c r="AG361" s="626"/>
      <c r="AH361" s="627"/>
      <c r="AI361" s="631"/>
      <c r="AJ361" s="632"/>
      <c r="AK361" s="632"/>
      <c r="AL361" s="632"/>
      <c r="AM361" s="632"/>
      <c r="AN361" s="632"/>
      <c r="AO361" s="632"/>
      <c r="AP361" s="633"/>
    </row>
    <row r="362" spans="1:45" ht="27" customHeight="1" x14ac:dyDescent="0.4">
      <c r="B362" s="585"/>
      <c r="C362" s="587"/>
      <c r="D362" s="588"/>
      <c r="E362" s="589"/>
      <c r="F362" s="622"/>
      <c r="G362" s="623"/>
      <c r="H362" s="623"/>
      <c r="I362" s="624"/>
      <c r="J362" s="689"/>
      <c r="K362" s="690"/>
      <c r="L362" s="690"/>
      <c r="M362" s="690"/>
      <c r="N362" s="690"/>
      <c r="O362" s="690"/>
      <c r="P362" s="691"/>
      <c r="Q362" s="628"/>
      <c r="R362" s="630"/>
      <c r="S362" s="100"/>
      <c r="T362" s="101"/>
      <c r="U362" s="100"/>
      <c r="V362" s="628"/>
      <c r="W362" s="630"/>
      <c r="X362" s="695"/>
      <c r="Y362" s="696"/>
      <c r="Z362" s="696"/>
      <c r="AA362" s="696"/>
      <c r="AB362" s="696"/>
      <c r="AC362" s="696"/>
      <c r="AD362" s="697"/>
      <c r="AE362" s="622"/>
      <c r="AF362" s="623"/>
      <c r="AG362" s="623"/>
      <c r="AH362" s="624"/>
      <c r="AI362" s="628"/>
      <c r="AJ362" s="629"/>
      <c r="AK362" s="629"/>
      <c r="AL362" s="629"/>
      <c r="AM362" s="629"/>
      <c r="AN362" s="629"/>
      <c r="AO362" s="629"/>
      <c r="AP362" s="630"/>
    </row>
    <row r="363" spans="1:45" ht="27" customHeight="1" x14ac:dyDescent="0.4">
      <c r="B363" s="586"/>
      <c r="C363" s="590"/>
      <c r="D363" s="591"/>
      <c r="E363" s="592"/>
      <c r="F363" s="625"/>
      <c r="G363" s="626"/>
      <c r="H363" s="626"/>
      <c r="I363" s="627"/>
      <c r="J363" s="692"/>
      <c r="K363" s="693"/>
      <c r="L363" s="693"/>
      <c r="M363" s="693"/>
      <c r="N363" s="693"/>
      <c r="O363" s="693"/>
      <c r="P363" s="694"/>
      <c r="Q363" s="631"/>
      <c r="R363" s="633"/>
      <c r="S363" s="100"/>
      <c r="T363" s="101"/>
      <c r="U363" s="100"/>
      <c r="V363" s="631"/>
      <c r="W363" s="633"/>
      <c r="X363" s="698"/>
      <c r="Y363" s="699"/>
      <c r="Z363" s="699"/>
      <c r="AA363" s="699"/>
      <c r="AB363" s="699"/>
      <c r="AC363" s="699"/>
      <c r="AD363" s="700"/>
      <c r="AE363" s="625"/>
      <c r="AF363" s="626"/>
      <c r="AG363" s="626"/>
      <c r="AH363" s="627"/>
      <c r="AI363" s="631"/>
      <c r="AJ363" s="632"/>
      <c r="AK363" s="632"/>
      <c r="AL363" s="632"/>
      <c r="AM363" s="632"/>
      <c r="AN363" s="632"/>
      <c r="AO363" s="632"/>
      <c r="AP363" s="633"/>
    </row>
    <row r="364" spans="1:45" ht="27" customHeight="1" x14ac:dyDescent="0.4">
      <c r="B364" s="585"/>
      <c r="C364" s="587"/>
      <c r="D364" s="588"/>
      <c r="E364" s="589"/>
      <c r="F364" s="622"/>
      <c r="G364" s="623"/>
      <c r="H364" s="623"/>
      <c r="I364" s="624"/>
      <c r="J364" s="689"/>
      <c r="K364" s="690"/>
      <c r="L364" s="690"/>
      <c r="M364" s="690"/>
      <c r="N364" s="690"/>
      <c r="O364" s="690"/>
      <c r="P364" s="691"/>
      <c r="Q364" s="628"/>
      <c r="R364" s="630"/>
      <c r="S364" s="100"/>
      <c r="T364" s="101"/>
      <c r="U364" s="100"/>
      <c r="V364" s="628"/>
      <c r="W364" s="630"/>
      <c r="X364" s="695"/>
      <c r="Y364" s="696"/>
      <c r="Z364" s="696"/>
      <c r="AA364" s="696"/>
      <c r="AB364" s="696"/>
      <c r="AC364" s="696"/>
      <c r="AD364" s="697"/>
      <c r="AE364" s="622"/>
      <c r="AF364" s="623"/>
      <c r="AG364" s="623"/>
      <c r="AH364" s="624"/>
      <c r="AI364" s="628"/>
      <c r="AJ364" s="629"/>
      <c r="AK364" s="629"/>
      <c r="AL364" s="629"/>
      <c r="AM364" s="629"/>
      <c r="AN364" s="629"/>
      <c r="AO364" s="629"/>
      <c r="AP364" s="630"/>
    </row>
    <row r="365" spans="1:45" ht="27" customHeight="1" x14ac:dyDescent="0.4">
      <c r="B365" s="586"/>
      <c r="C365" s="590"/>
      <c r="D365" s="591"/>
      <c r="E365" s="592"/>
      <c r="F365" s="625"/>
      <c r="G365" s="626"/>
      <c r="H365" s="626"/>
      <c r="I365" s="627"/>
      <c r="J365" s="692"/>
      <c r="K365" s="693"/>
      <c r="L365" s="693"/>
      <c r="M365" s="693"/>
      <c r="N365" s="693"/>
      <c r="O365" s="693"/>
      <c r="P365" s="694"/>
      <c r="Q365" s="631"/>
      <c r="R365" s="633"/>
      <c r="S365" s="100"/>
      <c r="T365" s="101"/>
      <c r="U365" s="100"/>
      <c r="V365" s="631"/>
      <c r="W365" s="633"/>
      <c r="X365" s="698"/>
      <c r="Y365" s="699"/>
      <c r="Z365" s="699"/>
      <c r="AA365" s="699"/>
      <c r="AB365" s="699"/>
      <c r="AC365" s="699"/>
      <c r="AD365" s="700"/>
      <c r="AE365" s="625"/>
      <c r="AF365" s="626"/>
      <c r="AG365" s="626"/>
      <c r="AH365" s="627"/>
      <c r="AI365" s="631"/>
      <c r="AJ365" s="632"/>
      <c r="AK365" s="632"/>
      <c r="AL365" s="632"/>
      <c r="AM365" s="632"/>
      <c r="AN365" s="632"/>
      <c r="AO365" s="632"/>
      <c r="AP365" s="633"/>
    </row>
    <row r="366" spans="1:45" ht="27" customHeight="1" thickBot="1" x14ac:dyDescent="0.45">
      <c r="A366" s="102"/>
      <c r="B366" s="103"/>
      <c r="C366" s="104"/>
      <c r="D366" s="104"/>
      <c r="E366" s="104"/>
      <c r="F366" s="103"/>
      <c r="G366" s="103"/>
      <c r="H366" s="103"/>
      <c r="I366" s="103"/>
      <c r="J366" s="103"/>
      <c r="K366" s="105"/>
      <c r="L366" s="105"/>
      <c r="M366" s="106"/>
      <c r="N366" s="107"/>
      <c r="O366" s="106"/>
      <c r="P366" s="105"/>
      <c r="Q366" s="105"/>
      <c r="R366" s="103"/>
      <c r="S366" s="103"/>
      <c r="T366" s="103"/>
      <c r="U366" s="103"/>
      <c r="V366" s="103"/>
      <c r="W366" s="108"/>
      <c r="X366" s="108"/>
      <c r="Y366" s="108"/>
      <c r="Z366" s="108"/>
      <c r="AA366" s="108"/>
      <c r="AB366" s="108"/>
      <c r="AC366" s="102"/>
    </row>
    <row r="367" spans="1:45" ht="27" customHeight="1" thickBot="1" x14ac:dyDescent="0.45">
      <c r="D367" s="664" t="s">
        <v>8</v>
      </c>
      <c r="E367" s="665"/>
      <c r="F367" s="665"/>
      <c r="G367" s="665"/>
      <c r="H367" s="665"/>
      <c r="I367" s="666"/>
      <c r="J367" s="667" t="s">
        <v>5</v>
      </c>
      <c r="K367" s="665"/>
      <c r="L367" s="665"/>
      <c r="M367" s="665"/>
      <c r="N367" s="665"/>
      <c r="O367" s="665"/>
      <c r="P367" s="665"/>
      <c r="Q367" s="666"/>
      <c r="R367" s="668" t="s">
        <v>9</v>
      </c>
      <c r="S367" s="669"/>
      <c r="T367" s="669"/>
      <c r="U367" s="669"/>
      <c r="V367" s="669"/>
      <c r="W367" s="669"/>
      <c r="X367" s="669"/>
      <c r="Y367" s="669"/>
      <c r="Z367" s="670"/>
      <c r="AA367" s="609" t="s">
        <v>10</v>
      </c>
      <c r="AB367" s="610"/>
      <c r="AC367" s="671"/>
      <c r="AD367" s="609" t="s">
        <v>11</v>
      </c>
      <c r="AE367" s="610"/>
      <c r="AF367" s="610"/>
      <c r="AG367" s="610"/>
      <c r="AH367" s="610"/>
      <c r="AI367" s="610"/>
      <c r="AJ367" s="610"/>
      <c r="AK367" s="610"/>
      <c r="AL367" s="610"/>
      <c r="AM367" s="611"/>
    </row>
    <row r="368" spans="1:45" ht="27" customHeight="1" x14ac:dyDescent="0.4">
      <c r="D368" s="651" t="s">
        <v>298</v>
      </c>
      <c r="E368" s="652"/>
      <c r="F368" s="652"/>
      <c r="G368" s="652"/>
      <c r="H368" s="652"/>
      <c r="I368" s="653"/>
      <c r="J368" s="654"/>
      <c r="K368" s="652"/>
      <c r="L368" s="652"/>
      <c r="M368" s="652"/>
      <c r="N368" s="652"/>
      <c r="O368" s="652"/>
      <c r="P368" s="652"/>
      <c r="Q368" s="653"/>
      <c r="R368" s="655"/>
      <c r="S368" s="656"/>
      <c r="T368" s="656"/>
      <c r="U368" s="656"/>
      <c r="V368" s="656"/>
      <c r="W368" s="656"/>
      <c r="X368" s="656"/>
      <c r="Y368" s="656"/>
      <c r="Z368" s="657"/>
      <c r="AA368" s="658"/>
      <c r="AB368" s="659"/>
      <c r="AC368" s="660"/>
      <c r="AD368" s="661"/>
      <c r="AE368" s="662"/>
      <c r="AF368" s="662"/>
      <c r="AG368" s="662"/>
      <c r="AH368" s="662"/>
      <c r="AI368" s="662"/>
      <c r="AJ368" s="662"/>
      <c r="AK368" s="662"/>
      <c r="AL368" s="662"/>
      <c r="AM368" s="663"/>
    </row>
    <row r="369" spans="4:39" ht="27" customHeight="1" x14ac:dyDescent="0.4">
      <c r="D369" s="688" t="s">
        <v>12</v>
      </c>
      <c r="E369" s="604"/>
      <c r="F369" s="604"/>
      <c r="G369" s="604"/>
      <c r="H369" s="604"/>
      <c r="I369" s="605"/>
      <c r="J369" s="603"/>
      <c r="K369" s="604"/>
      <c r="L369" s="604"/>
      <c r="M369" s="604"/>
      <c r="N369" s="604"/>
      <c r="O369" s="604"/>
      <c r="P369" s="604"/>
      <c r="Q369" s="605"/>
      <c r="R369" s="606"/>
      <c r="S369" s="607"/>
      <c r="T369" s="607"/>
      <c r="U369" s="607"/>
      <c r="V369" s="607"/>
      <c r="W369" s="607"/>
      <c r="X369" s="607"/>
      <c r="Y369" s="607"/>
      <c r="Z369" s="608"/>
      <c r="AA369" s="606"/>
      <c r="AB369" s="607"/>
      <c r="AC369" s="608"/>
      <c r="AD369" s="672"/>
      <c r="AE369" s="673"/>
      <c r="AF369" s="673"/>
      <c r="AG369" s="673"/>
      <c r="AH369" s="673"/>
      <c r="AI369" s="673"/>
      <c r="AJ369" s="673"/>
      <c r="AK369" s="673"/>
      <c r="AL369" s="673"/>
      <c r="AM369" s="674"/>
    </row>
    <row r="370" spans="4:39" ht="27" customHeight="1" thickBot="1" x14ac:dyDescent="0.45">
      <c r="D370" s="675" t="s">
        <v>12</v>
      </c>
      <c r="E370" s="676"/>
      <c r="F370" s="676"/>
      <c r="G370" s="676"/>
      <c r="H370" s="676"/>
      <c r="I370" s="677"/>
      <c r="J370" s="678"/>
      <c r="K370" s="676"/>
      <c r="L370" s="676"/>
      <c r="M370" s="676"/>
      <c r="N370" s="676"/>
      <c r="O370" s="676"/>
      <c r="P370" s="676"/>
      <c r="Q370" s="677"/>
      <c r="R370" s="679"/>
      <c r="S370" s="680"/>
      <c r="T370" s="680"/>
      <c r="U370" s="680"/>
      <c r="V370" s="680"/>
      <c r="W370" s="680"/>
      <c r="X370" s="680"/>
      <c r="Y370" s="680"/>
      <c r="Z370" s="681"/>
      <c r="AA370" s="682"/>
      <c r="AB370" s="683"/>
      <c r="AC370" s="684"/>
      <c r="AD370" s="685"/>
      <c r="AE370" s="686"/>
      <c r="AF370" s="686"/>
      <c r="AG370" s="686"/>
      <c r="AH370" s="686"/>
      <c r="AI370" s="686"/>
      <c r="AJ370" s="686"/>
      <c r="AK370" s="686"/>
      <c r="AL370" s="686"/>
      <c r="AM370" s="687"/>
    </row>
  </sheetData>
  <mergeCells count="1446">
    <mergeCell ref="AD369:AM369"/>
    <mergeCell ref="D370:I370"/>
    <mergeCell ref="J370:Q370"/>
    <mergeCell ref="R370:Z370"/>
    <mergeCell ref="AA370:AC370"/>
    <mergeCell ref="AD370:AM370"/>
    <mergeCell ref="D369:I369"/>
    <mergeCell ref="J369:Q369"/>
    <mergeCell ref="R369:Z369"/>
    <mergeCell ref="AA369:AC369"/>
    <mergeCell ref="B364:B365"/>
    <mergeCell ref="C364:E365"/>
    <mergeCell ref="F364:I365"/>
    <mergeCell ref="J364:P365"/>
    <mergeCell ref="Q364:R365"/>
    <mergeCell ref="V364:W365"/>
    <mergeCell ref="X364:AD365"/>
    <mergeCell ref="AE364:AH365"/>
    <mergeCell ref="AI364:AP365"/>
    <mergeCell ref="AD367:AM367"/>
    <mergeCell ref="D368:I368"/>
    <mergeCell ref="J368:Q368"/>
    <mergeCell ref="R368:Z368"/>
    <mergeCell ref="AA368:AC368"/>
    <mergeCell ref="AD368:AM368"/>
    <mergeCell ref="D367:I367"/>
    <mergeCell ref="J367:Q367"/>
    <mergeCell ref="R367:Z367"/>
    <mergeCell ref="AA367:AC367"/>
    <mergeCell ref="B360:B361"/>
    <mergeCell ref="C360:E361"/>
    <mergeCell ref="F360:I361"/>
    <mergeCell ref="J360:P361"/>
    <mergeCell ref="Q360:R361"/>
    <mergeCell ref="V360:W361"/>
    <mergeCell ref="X360:AD361"/>
    <mergeCell ref="AE360:AH361"/>
    <mergeCell ref="AI360:AP361"/>
    <mergeCell ref="Q362:R363"/>
    <mergeCell ref="V362:W363"/>
    <mergeCell ref="X362:AD363"/>
    <mergeCell ref="AE362:AH363"/>
    <mergeCell ref="B362:B363"/>
    <mergeCell ref="C362:E363"/>
    <mergeCell ref="F362:I363"/>
    <mergeCell ref="J362:P363"/>
    <mergeCell ref="AI362:AP363"/>
    <mergeCell ref="B356:B357"/>
    <mergeCell ref="C356:E357"/>
    <mergeCell ref="F356:I357"/>
    <mergeCell ref="J356:P357"/>
    <mergeCell ref="Q356:R357"/>
    <mergeCell ref="V356:W357"/>
    <mergeCell ref="X356:AD357"/>
    <mergeCell ref="AE356:AH357"/>
    <mergeCell ref="AI356:AP357"/>
    <mergeCell ref="Q358:R359"/>
    <mergeCell ref="V358:W359"/>
    <mergeCell ref="X358:AD359"/>
    <mergeCell ref="AE358:AH359"/>
    <mergeCell ref="B358:B359"/>
    <mergeCell ref="C358:E359"/>
    <mergeCell ref="F358:I359"/>
    <mergeCell ref="J358:P359"/>
    <mergeCell ref="AI358:AP359"/>
    <mergeCell ref="B352:B353"/>
    <mergeCell ref="C352:E353"/>
    <mergeCell ref="F352:I353"/>
    <mergeCell ref="J352:P353"/>
    <mergeCell ref="Q352:R353"/>
    <mergeCell ref="V352:W353"/>
    <mergeCell ref="X352:AD353"/>
    <mergeCell ref="AE352:AH353"/>
    <mergeCell ref="AI352:AP353"/>
    <mergeCell ref="B354:B355"/>
    <mergeCell ref="C354:E355"/>
    <mergeCell ref="F354:I355"/>
    <mergeCell ref="J354:P355"/>
    <mergeCell ref="Q354:R355"/>
    <mergeCell ref="V354:W355"/>
    <mergeCell ref="X354:AD355"/>
    <mergeCell ref="AE354:AH355"/>
    <mergeCell ref="AI354:AP355"/>
    <mergeCell ref="C345:D345"/>
    <mergeCell ref="E345:N345"/>
    <mergeCell ref="Q345:R345"/>
    <mergeCell ref="S345:AB345"/>
    <mergeCell ref="AE345:AF345"/>
    <mergeCell ref="AG345:AP345"/>
    <mergeCell ref="C343:F343"/>
    <mergeCell ref="AE347:AF347"/>
    <mergeCell ref="AG347:AP347"/>
    <mergeCell ref="C346:D346"/>
    <mergeCell ref="E346:N346"/>
    <mergeCell ref="Q346:R346"/>
    <mergeCell ref="S346:AB346"/>
    <mergeCell ref="C351:E351"/>
    <mergeCell ref="F351:I351"/>
    <mergeCell ref="J351:P351"/>
    <mergeCell ref="Q351:W351"/>
    <mergeCell ref="AE346:AF346"/>
    <mergeCell ref="AG346:AP346"/>
    <mergeCell ref="C347:D347"/>
    <mergeCell ref="E347:N347"/>
    <mergeCell ref="Q347:R347"/>
    <mergeCell ref="S347:AB347"/>
    <mergeCell ref="X351:AD351"/>
    <mergeCell ref="AE351:AH351"/>
    <mergeCell ref="AI351:AP351"/>
    <mergeCell ref="AP341:AQ342"/>
    <mergeCell ref="AD338:AM338"/>
    <mergeCell ref="D339:I339"/>
    <mergeCell ref="J339:Q339"/>
    <mergeCell ref="R339:Z339"/>
    <mergeCell ref="AA339:AC339"/>
    <mergeCell ref="AD339:AM339"/>
    <mergeCell ref="D338:I338"/>
    <mergeCell ref="J338:Q338"/>
    <mergeCell ref="R338:Z338"/>
    <mergeCell ref="G343:O343"/>
    <mergeCell ref="P343:S343"/>
    <mergeCell ref="T343:AB343"/>
    <mergeCell ref="B341:AB342"/>
    <mergeCell ref="AC341:AJ342"/>
    <mergeCell ref="AK341:AO342"/>
    <mergeCell ref="AC343:AF343"/>
    <mergeCell ref="AG343:AL343"/>
    <mergeCell ref="AM343:AO343"/>
    <mergeCell ref="AA336:AC336"/>
    <mergeCell ref="AI331:AP332"/>
    <mergeCell ref="B333:B334"/>
    <mergeCell ref="C333:E334"/>
    <mergeCell ref="F333:I334"/>
    <mergeCell ref="J333:P334"/>
    <mergeCell ref="Q333:R334"/>
    <mergeCell ref="V333:W334"/>
    <mergeCell ref="X333:AD334"/>
    <mergeCell ref="AE333:AH334"/>
    <mergeCell ref="AA338:AC338"/>
    <mergeCell ref="AD336:AM336"/>
    <mergeCell ref="D337:I337"/>
    <mergeCell ref="J337:Q337"/>
    <mergeCell ref="R337:Z337"/>
    <mergeCell ref="AA337:AC337"/>
    <mergeCell ref="AD337:AM337"/>
    <mergeCell ref="D336:I336"/>
    <mergeCell ref="J336:Q336"/>
    <mergeCell ref="R336:Z336"/>
    <mergeCell ref="B329:B330"/>
    <mergeCell ref="C329:E330"/>
    <mergeCell ref="F329:I330"/>
    <mergeCell ref="J329:P330"/>
    <mergeCell ref="Q329:R330"/>
    <mergeCell ref="V329:W330"/>
    <mergeCell ref="X329:AD330"/>
    <mergeCell ref="AE329:AH330"/>
    <mergeCell ref="AI329:AP330"/>
    <mergeCell ref="AI333:AP334"/>
    <mergeCell ref="Q331:R332"/>
    <mergeCell ref="V331:W332"/>
    <mergeCell ref="X331:AD332"/>
    <mergeCell ref="AE331:AH332"/>
    <mergeCell ref="B331:B332"/>
    <mergeCell ref="C331:E332"/>
    <mergeCell ref="F331:I332"/>
    <mergeCell ref="J331:P332"/>
    <mergeCell ref="B325:B326"/>
    <mergeCell ref="C325:E326"/>
    <mergeCell ref="F325:I326"/>
    <mergeCell ref="J325:P326"/>
    <mergeCell ref="Q325:R326"/>
    <mergeCell ref="V325:W326"/>
    <mergeCell ref="X325:AD326"/>
    <mergeCell ref="AE325:AH326"/>
    <mergeCell ref="AI325:AP326"/>
    <mergeCell ref="Q327:R328"/>
    <mergeCell ref="V327:W328"/>
    <mergeCell ref="X327:AD328"/>
    <mergeCell ref="AE327:AH328"/>
    <mergeCell ref="B327:B328"/>
    <mergeCell ref="C327:E328"/>
    <mergeCell ref="F327:I328"/>
    <mergeCell ref="J327:P328"/>
    <mergeCell ref="AI327:AP328"/>
    <mergeCell ref="B321:B322"/>
    <mergeCell ref="C321:E322"/>
    <mergeCell ref="F321:I322"/>
    <mergeCell ref="J321:P322"/>
    <mergeCell ref="Q321:R322"/>
    <mergeCell ref="V321:W322"/>
    <mergeCell ref="X321:AD322"/>
    <mergeCell ref="AE321:AH322"/>
    <mergeCell ref="AI321:AP322"/>
    <mergeCell ref="B323:B324"/>
    <mergeCell ref="C323:E324"/>
    <mergeCell ref="F323:I324"/>
    <mergeCell ref="J323:P324"/>
    <mergeCell ref="Q323:R324"/>
    <mergeCell ref="V323:W324"/>
    <mergeCell ref="X323:AD324"/>
    <mergeCell ref="AE323:AH324"/>
    <mergeCell ref="AI323:AP324"/>
    <mergeCell ref="C314:D314"/>
    <mergeCell ref="E314:N314"/>
    <mergeCell ref="Q314:R314"/>
    <mergeCell ref="S314:AB314"/>
    <mergeCell ref="AE314:AF314"/>
    <mergeCell ref="AG314:AP314"/>
    <mergeCell ref="C312:F312"/>
    <mergeCell ref="AE316:AF316"/>
    <mergeCell ref="AG316:AP316"/>
    <mergeCell ref="C315:D315"/>
    <mergeCell ref="E315:N315"/>
    <mergeCell ref="Q315:R315"/>
    <mergeCell ref="S315:AB315"/>
    <mergeCell ref="C320:E320"/>
    <mergeCell ref="F320:I320"/>
    <mergeCell ref="J320:P320"/>
    <mergeCell ref="Q320:W320"/>
    <mergeCell ref="AE315:AF315"/>
    <mergeCell ref="AG315:AP315"/>
    <mergeCell ref="C316:D316"/>
    <mergeCell ref="E316:N316"/>
    <mergeCell ref="Q316:R316"/>
    <mergeCell ref="S316:AB316"/>
    <mergeCell ref="X320:AD320"/>
    <mergeCell ref="AE320:AH320"/>
    <mergeCell ref="AI320:AP320"/>
    <mergeCell ref="AP310:AQ311"/>
    <mergeCell ref="AD307:AM307"/>
    <mergeCell ref="D308:I308"/>
    <mergeCell ref="J308:Q308"/>
    <mergeCell ref="R308:Z308"/>
    <mergeCell ref="AA308:AC308"/>
    <mergeCell ref="AD308:AM308"/>
    <mergeCell ref="D307:I307"/>
    <mergeCell ref="J307:Q307"/>
    <mergeCell ref="R307:Z307"/>
    <mergeCell ref="G312:O312"/>
    <mergeCell ref="P312:S312"/>
    <mergeCell ref="T312:AB312"/>
    <mergeCell ref="B310:AB311"/>
    <mergeCell ref="AC310:AJ311"/>
    <mergeCell ref="AK310:AO311"/>
    <mergeCell ref="AC312:AF312"/>
    <mergeCell ref="AG312:AL312"/>
    <mergeCell ref="AM312:AO312"/>
    <mergeCell ref="AA305:AC305"/>
    <mergeCell ref="AI300:AP301"/>
    <mergeCell ref="B302:B303"/>
    <mergeCell ref="C302:E303"/>
    <mergeCell ref="F302:I303"/>
    <mergeCell ref="J302:P303"/>
    <mergeCell ref="Q302:R303"/>
    <mergeCell ref="V302:W303"/>
    <mergeCell ref="X302:AD303"/>
    <mergeCell ref="AE302:AH303"/>
    <mergeCell ref="AA307:AC307"/>
    <mergeCell ref="AD305:AM305"/>
    <mergeCell ref="D306:I306"/>
    <mergeCell ref="J306:Q306"/>
    <mergeCell ref="R306:Z306"/>
    <mergeCell ref="AA306:AC306"/>
    <mergeCell ref="AD306:AM306"/>
    <mergeCell ref="D305:I305"/>
    <mergeCell ref="J305:Q305"/>
    <mergeCell ref="R305:Z305"/>
    <mergeCell ref="B298:B299"/>
    <mergeCell ref="C298:E299"/>
    <mergeCell ref="F298:I299"/>
    <mergeCell ref="J298:P299"/>
    <mergeCell ref="Q298:R299"/>
    <mergeCell ref="V298:W299"/>
    <mergeCell ref="X298:AD299"/>
    <mergeCell ref="AE298:AH299"/>
    <mergeCell ref="AI298:AP299"/>
    <mergeCell ref="AI302:AP303"/>
    <mergeCell ref="Q300:R301"/>
    <mergeCell ref="V300:W301"/>
    <mergeCell ref="X300:AD301"/>
    <mergeCell ref="AE300:AH301"/>
    <mergeCell ref="B300:B301"/>
    <mergeCell ref="C300:E301"/>
    <mergeCell ref="F300:I301"/>
    <mergeCell ref="J300:P301"/>
    <mergeCell ref="B294:B295"/>
    <mergeCell ref="C294:E295"/>
    <mergeCell ref="F294:I295"/>
    <mergeCell ref="J294:P295"/>
    <mergeCell ref="Q294:R295"/>
    <mergeCell ref="V294:W295"/>
    <mergeCell ref="X294:AD295"/>
    <mergeCell ref="AE294:AH295"/>
    <mergeCell ref="AI294:AP295"/>
    <mergeCell ref="Q296:R297"/>
    <mergeCell ref="V296:W297"/>
    <mergeCell ref="X296:AD297"/>
    <mergeCell ref="AE296:AH297"/>
    <mergeCell ref="B296:B297"/>
    <mergeCell ref="C296:E297"/>
    <mergeCell ref="F296:I297"/>
    <mergeCell ref="J296:P297"/>
    <mergeCell ref="AI296:AP297"/>
    <mergeCell ref="B290:B291"/>
    <mergeCell ref="C290:E291"/>
    <mergeCell ref="F290:I291"/>
    <mergeCell ref="J290:P291"/>
    <mergeCell ref="Q290:R291"/>
    <mergeCell ref="V290:W291"/>
    <mergeCell ref="X290:AD291"/>
    <mergeCell ref="AE290:AH291"/>
    <mergeCell ref="AI290:AP291"/>
    <mergeCell ref="B292:B293"/>
    <mergeCell ref="C292:E293"/>
    <mergeCell ref="F292:I293"/>
    <mergeCell ref="J292:P293"/>
    <mergeCell ref="Q292:R293"/>
    <mergeCell ref="V292:W293"/>
    <mergeCell ref="X292:AD293"/>
    <mergeCell ref="AE292:AH293"/>
    <mergeCell ref="AI292:AP293"/>
    <mergeCell ref="C284:D284"/>
    <mergeCell ref="E284:N284"/>
    <mergeCell ref="C287:D287"/>
    <mergeCell ref="E287:N287"/>
    <mergeCell ref="Q286:R286"/>
    <mergeCell ref="S286:AB286"/>
    <mergeCell ref="C282:F282"/>
    <mergeCell ref="AE284:AF284"/>
    <mergeCell ref="AG284:AP284"/>
    <mergeCell ref="C285:D285"/>
    <mergeCell ref="E285:N285"/>
    <mergeCell ref="Q284:R284"/>
    <mergeCell ref="S284:AB284"/>
    <mergeCell ref="C289:E289"/>
    <mergeCell ref="F289:I289"/>
    <mergeCell ref="J289:P289"/>
    <mergeCell ref="Q289:W289"/>
    <mergeCell ref="Q287:R287"/>
    <mergeCell ref="S287:AB287"/>
    <mergeCell ref="C286:D286"/>
    <mergeCell ref="E286:N286"/>
    <mergeCell ref="Q285:R285"/>
    <mergeCell ref="S285:AB285"/>
    <mergeCell ref="X289:AD289"/>
    <mergeCell ref="AE289:AH289"/>
    <mergeCell ref="AI289:AP289"/>
    <mergeCell ref="AE285:AF285"/>
    <mergeCell ref="AG285:AP285"/>
    <mergeCell ref="AE286:AF286"/>
    <mergeCell ref="AG286:AP286"/>
    <mergeCell ref="AE287:AF287"/>
    <mergeCell ref="AG287:AP287"/>
    <mergeCell ref="AP188:AQ189"/>
    <mergeCell ref="AK188:AO189"/>
    <mergeCell ref="AC188:AJ189"/>
    <mergeCell ref="B188:AB189"/>
    <mergeCell ref="E192:N192"/>
    <mergeCell ref="C192:D192"/>
    <mergeCell ref="AM190:AO190"/>
    <mergeCell ref="AG190:AL190"/>
    <mergeCell ref="AC190:AF190"/>
    <mergeCell ref="G282:O282"/>
    <mergeCell ref="P282:S282"/>
    <mergeCell ref="T282:AB282"/>
    <mergeCell ref="B280:AB281"/>
    <mergeCell ref="AC280:AJ281"/>
    <mergeCell ref="AK280:AO281"/>
    <mergeCell ref="AC282:AF282"/>
    <mergeCell ref="AG282:AL282"/>
    <mergeCell ref="AM282:AO282"/>
    <mergeCell ref="AG193:AP193"/>
    <mergeCell ref="AE193:AF193"/>
    <mergeCell ref="S193:AB193"/>
    <mergeCell ref="Q193:R193"/>
    <mergeCell ref="E193:N193"/>
    <mergeCell ref="C193:D193"/>
    <mergeCell ref="AG194:AP194"/>
    <mergeCell ref="AE194:AF194"/>
    <mergeCell ref="T190:AB190"/>
    <mergeCell ref="P190:S190"/>
    <mergeCell ref="G190:O190"/>
    <mergeCell ref="C190:F190"/>
    <mergeCell ref="AG192:AP192"/>
    <mergeCell ref="AE192:AF192"/>
    <mergeCell ref="S192:AB192"/>
    <mergeCell ref="Q192:R192"/>
    <mergeCell ref="AP280:AQ281"/>
    <mergeCell ref="Q198:R199"/>
    <mergeCell ref="J198:P199"/>
    <mergeCell ref="F198:I199"/>
    <mergeCell ref="C198:E199"/>
    <mergeCell ref="AI198:AP199"/>
    <mergeCell ref="AE198:AH199"/>
    <mergeCell ref="X198:AD199"/>
    <mergeCell ref="V198:W199"/>
    <mergeCell ref="S194:AB194"/>
    <mergeCell ref="Q194:R194"/>
    <mergeCell ref="B198:B199"/>
    <mergeCell ref="AI197:AP197"/>
    <mergeCell ref="AE197:AH197"/>
    <mergeCell ref="X197:AD197"/>
    <mergeCell ref="Q197:W197"/>
    <mergeCell ref="J197:P197"/>
    <mergeCell ref="F197:I197"/>
    <mergeCell ref="C197:E197"/>
    <mergeCell ref="E194:N194"/>
    <mergeCell ref="C194:D194"/>
    <mergeCell ref="Q202:R203"/>
    <mergeCell ref="J202:P203"/>
    <mergeCell ref="F202:I203"/>
    <mergeCell ref="C202:E203"/>
    <mergeCell ref="AI202:AP203"/>
    <mergeCell ref="AE202:AH203"/>
    <mergeCell ref="X202:AD203"/>
    <mergeCell ref="V202:W203"/>
    <mergeCell ref="B202:B203"/>
    <mergeCell ref="AI200:AP201"/>
    <mergeCell ref="AE200:AH201"/>
    <mergeCell ref="X200:AD201"/>
    <mergeCell ref="V200:W201"/>
    <mergeCell ref="Q200:R201"/>
    <mergeCell ref="J200:P201"/>
    <mergeCell ref="F200:I201"/>
    <mergeCell ref="C200:E201"/>
    <mergeCell ref="B200:B201"/>
    <mergeCell ref="Q206:R207"/>
    <mergeCell ref="J206:P207"/>
    <mergeCell ref="F206:I207"/>
    <mergeCell ref="C206:E207"/>
    <mergeCell ref="AI206:AP207"/>
    <mergeCell ref="AE206:AH207"/>
    <mergeCell ref="X206:AD207"/>
    <mergeCell ref="V206:W207"/>
    <mergeCell ref="B206:B207"/>
    <mergeCell ref="AI204:AP205"/>
    <mergeCell ref="AE204:AH205"/>
    <mergeCell ref="X204:AD205"/>
    <mergeCell ref="V204:W205"/>
    <mergeCell ref="Q204:R205"/>
    <mergeCell ref="J204:P205"/>
    <mergeCell ref="F204:I205"/>
    <mergeCell ref="C204:E205"/>
    <mergeCell ref="B204:B205"/>
    <mergeCell ref="Q210:R211"/>
    <mergeCell ref="J210:P211"/>
    <mergeCell ref="F210:I211"/>
    <mergeCell ref="C210:E211"/>
    <mergeCell ref="AI210:AP211"/>
    <mergeCell ref="AE210:AH211"/>
    <mergeCell ref="X210:AD211"/>
    <mergeCell ref="V210:W211"/>
    <mergeCell ref="B210:B211"/>
    <mergeCell ref="AI208:AP209"/>
    <mergeCell ref="AE208:AH209"/>
    <mergeCell ref="X208:AD209"/>
    <mergeCell ref="V208:W209"/>
    <mergeCell ref="Q208:R209"/>
    <mergeCell ref="J208:P209"/>
    <mergeCell ref="F208:I209"/>
    <mergeCell ref="C208:E209"/>
    <mergeCell ref="B208:B209"/>
    <mergeCell ref="D216:I216"/>
    <mergeCell ref="AD215:AM215"/>
    <mergeCell ref="AA215:AC215"/>
    <mergeCell ref="R215:Z215"/>
    <mergeCell ref="J215:Q215"/>
    <mergeCell ref="D215:I215"/>
    <mergeCell ref="AD216:AM216"/>
    <mergeCell ref="AA216:AC216"/>
    <mergeCell ref="R216:Z216"/>
    <mergeCell ref="J216:Q216"/>
    <mergeCell ref="D214:I214"/>
    <mergeCell ref="AD213:AM213"/>
    <mergeCell ref="AA213:AC213"/>
    <mergeCell ref="R213:Z213"/>
    <mergeCell ref="J213:Q213"/>
    <mergeCell ref="D213:I213"/>
    <mergeCell ref="AD214:AM214"/>
    <mergeCell ref="AA214:AC214"/>
    <mergeCell ref="R214:Z214"/>
    <mergeCell ref="J214:Q214"/>
    <mergeCell ref="P220:S220"/>
    <mergeCell ref="G220:O220"/>
    <mergeCell ref="C220:F220"/>
    <mergeCell ref="AG222:AP222"/>
    <mergeCell ref="AE222:AF222"/>
    <mergeCell ref="S222:AB222"/>
    <mergeCell ref="Q222:R222"/>
    <mergeCell ref="AP218:AQ219"/>
    <mergeCell ref="AK218:AO219"/>
    <mergeCell ref="AC218:AJ219"/>
    <mergeCell ref="B218:AB219"/>
    <mergeCell ref="E222:N222"/>
    <mergeCell ref="C222:D222"/>
    <mergeCell ref="AM220:AO220"/>
    <mergeCell ref="AG220:AL220"/>
    <mergeCell ref="AC220:AF220"/>
    <mergeCell ref="T220:AB220"/>
    <mergeCell ref="S224:AB224"/>
    <mergeCell ref="Q224:R224"/>
    <mergeCell ref="B229:B230"/>
    <mergeCell ref="AI228:AP228"/>
    <mergeCell ref="AE228:AH228"/>
    <mergeCell ref="X228:AD228"/>
    <mergeCell ref="Q228:W228"/>
    <mergeCell ref="J228:P228"/>
    <mergeCell ref="F228:I228"/>
    <mergeCell ref="C228:E228"/>
    <mergeCell ref="E224:N224"/>
    <mergeCell ref="C224:D224"/>
    <mergeCell ref="AG223:AP223"/>
    <mergeCell ref="AE223:AF223"/>
    <mergeCell ref="S223:AB223"/>
    <mergeCell ref="Q223:R223"/>
    <mergeCell ref="E223:N223"/>
    <mergeCell ref="C223:D223"/>
    <mergeCell ref="AG224:AP224"/>
    <mergeCell ref="AE224:AF224"/>
    <mergeCell ref="AI231:AP232"/>
    <mergeCell ref="AE231:AH232"/>
    <mergeCell ref="X231:AD232"/>
    <mergeCell ref="V231:W232"/>
    <mergeCell ref="Q231:R232"/>
    <mergeCell ref="J231:P232"/>
    <mergeCell ref="F231:I232"/>
    <mergeCell ref="C231:E232"/>
    <mergeCell ref="B231:B232"/>
    <mergeCell ref="Q229:R230"/>
    <mergeCell ref="J229:P230"/>
    <mergeCell ref="F229:I230"/>
    <mergeCell ref="C229:E230"/>
    <mergeCell ref="AI229:AP230"/>
    <mergeCell ref="AE229:AH230"/>
    <mergeCell ref="X229:AD230"/>
    <mergeCell ref="V229:W230"/>
    <mergeCell ref="AI235:AP236"/>
    <mergeCell ref="AE235:AH236"/>
    <mergeCell ref="X235:AD236"/>
    <mergeCell ref="V235:W236"/>
    <mergeCell ref="Q235:R236"/>
    <mergeCell ref="J235:P236"/>
    <mergeCell ref="F235:I236"/>
    <mergeCell ref="C235:E236"/>
    <mergeCell ref="B235:B236"/>
    <mergeCell ref="Q233:R234"/>
    <mergeCell ref="J233:P234"/>
    <mergeCell ref="F233:I234"/>
    <mergeCell ref="C233:E234"/>
    <mergeCell ref="AI233:AP234"/>
    <mergeCell ref="AE233:AH234"/>
    <mergeCell ref="X233:AD234"/>
    <mergeCell ref="V233:W234"/>
    <mergeCell ref="B233:B234"/>
    <mergeCell ref="B241:B242"/>
    <mergeCell ref="AI239:AP240"/>
    <mergeCell ref="AE239:AH240"/>
    <mergeCell ref="X239:AD240"/>
    <mergeCell ref="V239:W240"/>
    <mergeCell ref="Q239:R240"/>
    <mergeCell ref="J239:P240"/>
    <mergeCell ref="F239:I240"/>
    <mergeCell ref="C239:E240"/>
    <mergeCell ref="B239:B240"/>
    <mergeCell ref="Q237:R238"/>
    <mergeCell ref="J237:P238"/>
    <mergeCell ref="F237:I238"/>
    <mergeCell ref="C237:E238"/>
    <mergeCell ref="AI237:AP238"/>
    <mergeCell ref="AE237:AH238"/>
    <mergeCell ref="X237:AD238"/>
    <mergeCell ref="V237:W238"/>
    <mergeCell ref="B237:B238"/>
    <mergeCell ref="D245:I245"/>
    <mergeCell ref="AD244:AM244"/>
    <mergeCell ref="AA244:AC244"/>
    <mergeCell ref="R244:Z244"/>
    <mergeCell ref="J244:Q244"/>
    <mergeCell ref="D244:I244"/>
    <mergeCell ref="AD245:AM245"/>
    <mergeCell ref="AA245:AC245"/>
    <mergeCell ref="R245:Z245"/>
    <mergeCell ref="J245:Q245"/>
    <mergeCell ref="Q241:R242"/>
    <mergeCell ref="J241:P242"/>
    <mergeCell ref="F241:I242"/>
    <mergeCell ref="C241:E242"/>
    <mergeCell ref="AI241:AP242"/>
    <mergeCell ref="AE241:AH242"/>
    <mergeCell ref="X241:AD242"/>
    <mergeCell ref="V241:W242"/>
    <mergeCell ref="AE253:AF253"/>
    <mergeCell ref="AG253:AP253"/>
    <mergeCell ref="AE254:AF254"/>
    <mergeCell ref="AG254:AP254"/>
    <mergeCell ref="AE255:AF255"/>
    <mergeCell ref="D247:I247"/>
    <mergeCell ref="AD246:AM246"/>
    <mergeCell ref="AA246:AC246"/>
    <mergeCell ref="R246:Z246"/>
    <mergeCell ref="J246:Q246"/>
    <mergeCell ref="D246:I246"/>
    <mergeCell ref="AD247:AM247"/>
    <mergeCell ref="AA247:AC247"/>
    <mergeCell ref="R247:Z247"/>
    <mergeCell ref="J247:Q247"/>
    <mergeCell ref="Q256:R256"/>
    <mergeCell ref="P251:S251"/>
    <mergeCell ref="G251:O251"/>
    <mergeCell ref="C251:F251"/>
    <mergeCell ref="S254:AB254"/>
    <mergeCell ref="Q254:R254"/>
    <mergeCell ref="E256:N256"/>
    <mergeCell ref="C256:D256"/>
    <mergeCell ref="AP249:AQ250"/>
    <mergeCell ref="AK249:AO250"/>
    <mergeCell ref="AC249:AJ250"/>
    <mergeCell ref="B249:AB250"/>
    <mergeCell ref="E253:N253"/>
    <mergeCell ref="C253:D253"/>
    <mergeCell ref="AM251:AO251"/>
    <mergeCell ref="AG251:AL251"/>
    <mergeCell ref="AC251:AF251"/>
    <mergeCell ref="T251:AB251"/>
    <mergeCell ref="Q260:R261"/>
    <mergeCell ref="J260:P261"/>
    <mergeCell ref="F260:I261"/>
    <mergeCell ref="C260:E261"/>
    <mergeCell ref="AI260:AP261"/>
    <mergeCell ref="AE260:AH261"/>
    <mergeCell ref="X260:AD261"/>
    <mergeCell ref="V260:W261"/>
    <mergeCell ref="S253:AB253"/>
    <mergeCell ref="Q253:R253"/>
    <mergeCell ref="B260:B261"/>
    <mergeCell ref="AI259:AP259"/>
    <mergeCell ref="AE259:AH259"/>
    <mergeCell ref="X259:AD259"/>
    <mergeCell ref="Q259:W259"/>
    <mergeCell ref="J259:P259"/>
    <mergeCell ref="F259:I259"/>
    <mergeCell ref="C259:E259"/>
    <mergeCell ref="E255:N255"/>
    <mergeCell ref="C255:D255"/>
    <mergeCell ref="AG255:AP255"/>
    <mergeCell ref="AE256:AF256"/>
    <mergeCell ref="AG256:AP256"/>
    <mergeCell ref="AE257:AF257"/>
    <mergeCell ref="AG257:AP257"/>
    <mergeCell ref="S255:AB255"/>
    <mergeCell ref="Q255:R255"/>
    <mergeCell ref="E257:N257"/>
    <mergeCell ref="C257:D257"/>
    <mergeCell ref="E254:N254"/>
    <mergeCell ref="C254:D254"/>
    <mergeCell ref="S256:AB256"/>
    <mergeCell ref="Q264:R265"/>
    <mergeCell ref="J264:P265"/>
    <mergeCell ref="F264:I265"/>
    <mergeCell ref="C264:E265"/>
    <mergeCell ref="AI264:AP265"/>
    <mergeCell ref="AE264:AH265"/>
    <mergeCell ref="X264:AD265"/>
    <mergeCell ref="V264:W265"/>
    <mergeCell ref="B264:B265"/>
    <mergeCell ref="AI262:AP263"/>
    <mergeCell ref="AE262:AH263"/>
    <mergeCell ref="X262:AD263"/>
    <mergeCell ref="V262:W263"/>
    <mergeCell ref="Q262:R263"/>
    <mergeCell ref="J262:P263"/>
    <mergeCell ref="F262:I263"/>
    <mergeCell ref="C262:E263"/>
    <mergeCell ref="B262:B263"/>
    <mergeCell ref="Q257:R257"/>
    <mergeCell ref="S257:AB257"/>
    <mergeCell ref="Q268:R269"/>
    <mergeCell ref="J268:P269"/>
    <mergeCell ref="F268:I269"/>
    <mergeCell ref="C268:E269"/>
    <mergeCell ref="AI268:AP269"/>
    <mergeCell ref="AE268:AH269"/>
    <mergeCell ref="X268:AD269"/>
    <mergeCell ref="V268:W269"/>
    <mergeCell ref="B268:B269"/>
    <mergeCell ref="AI266:AP267"/>
    <mergeCell ref="AE266:AH267"/>
    <mergeCell ref="X266:AD267"/>
    <mergeCell ref="V266:W267"/>
    <mergeCell ref="Q266:R267"/>
    <mergeCell ref="J266:P267"/>
    <mergeCell ref="F266:I267"/>
    <mergeCell ref="C266:E267"/>
    <mergeCell ref="B266:B267"/>
    <mergeCell ref="Q272:R273"/>
    <mergeCell ref="J272:P273"/>
    <mergeCell ref="F272:I273"/>
    <mergeCell ref="C272:E273"/>
    <mergeCell ref="AI272:AP273"/>
    <mergeCell ref="AE272:AH273"/>
    <mergeCell ref="X272:AD273"/>
    <mergeCell ref="V272:W273"/>
    <mergeCell ref="B272:B273"/>
    <mergeCell ref="AI270:AP271"/>
    <mergeCell ref="AE270:AH271"/>
    <mergeCell ref="X270:AD271"/>
    <mergeCell ref="V270:W271"/>
    <mergeCell ref="Q270:R271"/>
    <mergeCell ref="J270:P271"/>
    <mergeCell ref="F270:I271"/>
    <mergeCell ref="C270:E271"/>
    <mergeCell ref="B270:B271"/>
    <mergeCell ref="D278:I278"/>
    <mergeCell ref="AD277:AM277"/>
    <mergeCell ref="AA277:AC277"/>
    <mergeCell ref="R277:Z277"/>
    <mergeCell ref="J277:Q277"/>
    <mergeCell ref="D277:I277"/>
    <mergeCell ref="AD278:AM278"/>
    <mergeCell ref="AA278:AC278"/>
    <mergeCell ref="R278:Z278"/>
    <mergeCell ref="J278:Q278"/>
    <mergeCell ref="D276:I276"/>
    <mergeCell ref="AD275:AM275"/>
    <mergeCell ref="AA275:AC275"/>
    <mergeCell ref="R275:Z275"/>
    <mergeCell ref="J275:Q275"/>
    <mergeCell ref="D275:I275"/>
    <mergeCell ref="AD276:AM276"/>
    <mergeCell ref="AA276:AC276"/>
    <mergeCell ref="R276:Z276"/>
    <mergeCell ref="J276:Q276"/>
    <mergeCell ref="AG101:AP101"/>
    <mergeCell ref="AE101:AF101"/>
    <mergeCell ref="S101:AB101"/>
    <mergeCell ref="Q101:R101"/>
    <mergeCell ref="E101:N101"/>
    <mergeCell ref="C101:D101"/>
    <mergeCell ref="AG102:AP102"/>
    <mergeCell ref="AE102:AF102"/>
    <mergeCell ref="P98:S98"/>
    <mergeCell ref="G98:O98"/>
    <mergeCell ref="C98:F98"/>
    <mergeCell ref="AG100:AP100"/>
    <mergeCell ref="AE100:AF100"/>
    <mergeCell ref="S100:AB100"/>
    <mergeCell ref="Q100:R100"/>
    <mergeCell ref="AP96:AQ97"/>
    <mergeCell ref="AK96:AO97"/>
    <mergeCell ref="AC96:AJ97"/>
    <mergeCell ref="B96:AB97"/>
    <mergeCell ref="E100:N100"/>
    <mergeCell ref="C100:D100"/>
    <mergeCell ref="AM98:AO98"/>
    <mergeCell ref="AG98:AL98"/>
    <mergeCell ref="AC98:AF98"/>
    <mergeCell ref="T98:AB98"/>
    <mergeCell ref="Q107:R108"/>
    <mergeCell ref="J107:P108"/>
    <mergeCell ref="F107:I108"/>
    <mergeCell ref="C107:E108"/>
    <mergeCell ref="AI107:AP108"/>
    <mergeCell ref="AE107:AH108"/>
    <mergeCell ref="X107:AD108"/>
    <mergeCell ref="V107:W108"/>
    <mergeCell ref="S102:AB102"/>
    <mergeCell ref="Q102:R102"/>
    <mergeCell ref="B107:B108"/>
    <mergeCell ref="AI106:AP106"/>
    <mergeCell ref="AE106:AH106"/>
    <mergeCell ref="X106:AD106"/>
    <mergeCell ref="Q106:W106"/>
    <mergeCell ref="J106:P106"/>
    <mergeCell ref="F106:I106"/>
    <mergeCell ref="C106:E106"/>
    <mergeCell ref="E102:N102"/>
    <mergeCell ref="C102:D102"/>
    <mergeCell ref="Q111:R112"/>
    <mergeCell ref="J111:P112"/>
    <mergeCell ref="F111:I112"/>
    <mergeCell ref="C111:E112"/>
    <mergeCell ref="AI111:AP112"/>
    <mergeCell ref="AE111:AH112"/>
    <mergeCell ref="X111:AD112"/>
    <mergeCell ref="V111:W112"/>
    <mergeCell ref="B111:B112"/>
    <mergeCell ref="AI109:AP110"/>
    <mergeCell ref="AE109:AH110"/>
    <mergeCell ref="X109:AD110"/>
    <mergeCell ref="V109:W110"/>
    <mergeCell ref="Q109:R110"/>
    <mergeCell ref="J109:P110"/>
    <mergeCell ref="F109:I110"/>
    <mergeCell ref="C109:E110"/>
    <mergeCell ref="B109:B110"/>
    <mergeCell ref="Q115:R116"/>
    <mergeCell ref="J115:P116"/>
    <mergeCell ref="F115:I116"/>
    <mergeCell ref="C115:E116"/>
    <mergeCell ref="AI115:AP116"/>
    <mergeCell ref="AE115:AH116"/>
    <mergeCell ref="X115:AD116"/>
    <mergeCell ref="V115:W116"/>
    <mergeCell ref="B115:B116"/>
    <mergeCell ref="AI113:AP114"/>
    <mergeCell ref="AE113:AH114"/>
    <mergeCell ref="X113:AD114"/>
    <mergeCell ref="V113:W114"/>
    <mergeCell ref="Q113:R114"/>
    <mergeCell ref="J113:P114"/>
    <mergeCell ref="F113:I114"/>
    <mergeCell ref="C113:E114"/>
    <mergeCell ref="B113:B114"/>
    <mergeCell ref="Q119:R120"/>
    <mergeCell ref="J119:P120"/>
    <mergeCell ref="F119:I120"/>
    <mergeCell ref="C119:E120"/>
    <mergeCell ref="AI119:AP120"/>
    <mergeCell ref="AE119:AH120"/>
    <mergeCell ref="X119:AD120"/>
    <mergeCell ref="V119:W120"/>
    <mergeCell ref="B119:B120"/>
    <mergeCell ref="AI117:AP118"/>
    <mergeCell ref="AE117:AH118"/>
    <mergeCell ref="X117:AD118"/>
    <mergeCell ref="V117:W118"/>
    <mergeCell ref="Q117:R118"/>
    <mergeCell ref="J117:P118"/>
    <mergeCell ref="F117:I118"/>
    <mergeCell ref="C117:E118"/>
    <mergeCell ref="B117:B118"/>
    <mergeCell ref="D125:I125"/>
    <mergeCell ref="AD124:AM124"/>
    <mergeCell ref="AA124:AC124"/>
    <mergeCell ref="R124:Z124"/>
    <mergeCell ref="J124:Q124"/>
    <mergeCell ref="D124:I124"/>
    <mergeCell ref="AD125:AM125"/>
    <mergeCell ref="AA125:AC125"/>
    <mergeCell ref="R125:Z125"/>
    <mergeCell ref="J125:Q125"/>
    <mergeCell ref="D123:I123"/>
    <mergeCell ref="AD122:AM122"/>
    <mergeCell ref="AA122:AC122"/>
    <mergeCell ref="R122:Z122"/>
    <mergeCell ref="J122:Q122"/>
    <mergeCell ref="D122:I122"/>
    <mergeCell ref="AD123:AM123"/>
    <mergeCell ref="AA123:AC123"/>
    <mergeCell ref="R123:Z123"/>
    <mergeCell ref="J123:Q123"/>
    <mergeCell ref="P129:S129"/>
    <mergeCell ref="G129:O129"/>
    <mergeCell ref="C129:F129"/>
    <mergeCell ref="AG131:AP131"/>
    <mergeCell ref="AE131:AF131"/>
    <mergeCell ref="S131:AB131"/>
    <mergeCell ref="Q131:R131"/>
    <mergeCell ref="AP127:AQ128"/>
    <mergeCell ref="AK127:AO128"/>
    <mergeCell ref="AC127:AJ128"/>
    <mergeCell ref="B127:AB128"/>
    <mergeCell ref="E131:N131"/>
    <mergeCell ref="C131:D131"/>
    <mergeCell ref="AM129:AO129"/>
    <mergeCell ref="AG129:AL129"/>
    <mergeCell ref="AC129:AF129"/>
    <mergeCell ref="T129:AB129"/>
    <mergeCell ref="S133:AB133"/>
    <mergeCell ref="Q133:R133"/>
    <mergeCell ref="B138:B139"/>
    <mergeCell ref="AI137:AP137"/>
    <mergeCell ref="AE137:AH137"/>
    <mergeCell ref="X137:AD137"/>
    <mergeCell ref="Q137:W137"/>
    <mergeCell ref="J137:P137"/>
    <mergeCell ref="F137:I137"/>
    <mergeCell ref="C137:E137"/>
    <mergeCell ref="E133:N133"/>
    <mergeCell ref="C133:D133"/>
    <mergeCell ref="AG132:AP132"/>
    <mergeCell ref="AE132:AF132"/>
    <mergeCell ref="S132:AB132"/>
    <mergeCell ref="Q132:R132"/>
    <mergeCell ref="E132:N132"/>
    <mergeCell ref="C132:D132"/>
    <mergeCell ref="AG133:AP133"/>
    <mergeCell ref="AE133:AF133"/>
    <mergeCell ref="AI140:AP141"/>
    <mergeCell ref="AE140:AH141"/>
    <mergeCell ref="X140:AD141"/>
    <mergeCell ref="V140:W141"/>
    <mergeCell ref="Q140:R141"/>
    <mergeCell ref="J140:P141"/>
    <mergeCell ref="F140:I141"/>
    <mergeCell ref="C140:E141"/>
    <mergeCell ref="B140:B141"/>
    <mergeCell ref="Q138:R139"/>
    <mergeCell ref="J138:P139"/>
    <mergeCell ref="F138:I139"/>
    <mergeCell ref="C138:E139"/>
    <mergeCell ref="AI138:AP139"/>
    <mergeCell ref="AE138:AH139"/>
    <mergeCell ref="X138:AD139"/>
    <mergeCell ref="V138:W139"/>
    <mergeCell ref="AI144:AP145"/>
    <mergeCell ref="AE144:AH145"/>
    <mergeCell ref="X144:AD145"/>
    <mergeCell ref="V144:W145"/>
    <mergeCell ref="Q144:R145"/>
    <mergeCell ref="J144:P145"/>
    <mergeCell ref="F144:I145"/>
    <mergeCell ref="C144:E145"/>
    <mergeCell ref="B144:B145"/>
    <mergeCell ref="Q142:R143"/>
    <mergeCell ref="J142:P143"/>
    <mergeCell ref="F142:I143"/>
    <mergeCell ref="C142:E143"/>
    <mergeCell ref="AI142:AP143"/>
    <mergeCell ref="AE142:AH143"/>
    <mergeCell ref="X142:AD143"/>
    <mergeCell ref="V142:W143"/>
    <mergeCell ref="B142:B143"/>
    <mergeCell ref="B150:B151"/>
    <mergeCell ref="AI148:AP149"/>
    <mergeCell ref="AE148:AH149"/>
    <mergeCell ref="X148:AD149"/>
    <mergeCell ref="V148:W149"/>
    <mergeCell ref="Q148:R149"/>
    <mergeCell ref="J148:P149"/>
    <mergeCell ref="F148:I149"/>
    <mergeCell ref="C148:E149"/>
    <mergeCell ref="B148:B149"/>
    <mergeCell ref="Q146:R147"/>
    <mergeCell ref="J146:P147"/>
    <mergeCell ref="F146:I147"/>
    <mergeCell ref="C146:E147"/>
    <mergeCell ref="AI146:AP147"/>
    <mergeCell ref="AE146:AH147"/>
    <mergeCell ref="X146:AD147"/>
    <mergeCell ref="V146:W147"/>
    <mergeCell ref="B146:B147"/>
    <mergeCell ref="D154:I154"/>
    <mergeCell ref="AD153:AM153"/>
    <mergeCell ref="AA153:AC153"/>
    <mergeCell ref="R153:Z153"/>
    <mergeCell ref="J153:Q153"/>
    <mergeCell ref="D153:I153"/>
    <mergeCell ref="AD154:AM154"/>
    <mergeCell ref="AA154:AC154"/>
    <mergeCell ref="R154:Z154"/>
    <mergeCell ref="J154:Q154"/>
    <mergeCell ref="Q150:R151"/>
    <mergeCell ref="J150:P151"/>
    <mergeCell ref="F150:I151"/>
    <mergeCell ref="C150:E151"/>
    <mergeCell ref="AI150:AP151"/>
    <mergeCell ref="AE150:AH151"/>
    <mergeCell ref="X150:AD151"/>
    <mergeCell ref="V150:W151"/>
    <mergeCell ref="Q162:R162"/>
    <mergeCell ref="AP158:AQ159"/>
    <mergeCell ref="AK158:AO159"/>
    <mergeCell ref="AC158:AJ159"/>
    <mergeCell ref="B158:AB159"/>
    <mergeCell ref="E162:N162"/>
    <mergeCell ref="C162:D162"/>
    <mergeCell ref="AM160:AO160"/>
    <mergeCell ref="AG160:AL160"/>
    <mergeCell ref="AC160:AF160"/>
    <mergeCell ref="T160:AB160"/>
    <mergeCell ref="D156:I156"/>
    <mergeCell ref="AD155:AM155"/>
    <mergeCell ref="AA155:AC155"/>
    <mergeCell ref="R155:Z155"/>
    <mergeCell ref="J155:Q155"/>
    <mergeCell ref="D155:I155"/>
    <mergeCell ref="AD156:AM156"/>
    <mergeCell ref="AA156:AC156"/>
    <mergeCell ref="R156:Z156"/>
    <mergeCell ref="J156:Q156"/>
    <mergeCell ref="B168:B169"/>
    <mergeCell ref="AI167:AP167"/>
    <mergeCell ref="AE167:AH167"/>
    <mergeCell ref="X167:AD167"/>
    <mergeCell ref="Q167:W167"/>
    <mergeCell ref="J167:P167"/>
    <mergeCell ref="F167:I167"/>
    <mergeCell ref="C167:E167"/>
    <mergeCell ref="E164:N164"/>
    <mergeCell ref="C164:D164"/>
    <mergeCell ref="AG163:AP163"/>
    <mergeCell ref="AE163:AF163"/>
    <mergeCell ref="S163:AB163"/>
    <mergeCell ref="Q163:R163"/>
    <mergeCell ref="E163:N163"/>
    <mergeCell ref="C163:D163"/>
    <mergeCell ref="AG164:AP164"/>
    <mergeCell ref="AE164:AF164"/>
    <mergeCell ref="B174:B175"/>
    <mergeCell ref="AE174:AH175"/>
    <mergeCell ref="X174:AD175"/>
    <mergeCell ref="V174:W175"/>
    <mergeCell ref="Q174:R175"/>
    <mergeCell ref="Q172:R173"/>
    <mergeCell ref="J172:P173"/>
    <mergeCell ref="F172:I173"/>
    <mergeCell ref="C172:E173"/>
    <mergeCell ref="AI172:AP173"/>
    <mergeCell ref="AE172:AH173"/>
    <mergeCell ref="X172:AD173"/>
    <mergeCell ref="V172:W173"/>
    <mergeCell ref="B172:B173"/>
    <mergeCell ref="AI170:AP171"/>
    <mergeCell ref="AE170:AH171"/>
    <mergeCell ref="X170:AD171"/>
    <mergeCell ref="V170:W171"/>
    <mergeCell ref="Q170:R171"/>
    <mergeCell ref="J170:P171"/>
    <mergeCell ref="F170:I171"/>
    <mergeCell ref="C170:E171"/>
    <mergeCell ref="B170:B171"/>
    <mergeCell ref="B180:B181"/>
    <mergeCell ref="AI178:AP179"/>
    <mergeCell ref="AE178:AH179"/>
    <mergeCell ref="X178:AD179"/>
    <mergeCell ref="V178:W179"/>
    <mergeCell ref="Q178:R179"/>
    <mergeCell ref="J178:P179"/>
    <mergeCell ref="F178:I179"/>
    <mergeCell ref="C178:E179"/>
    <mergeCell ref="B178:B179"/>
    <mergeCell ref="AI176:AP177"/>
    <mergeCell ref="AE176:AH177"/>
    <mergeCell ref="X176:AD177"/>
    <mergeCell ref="V176:W177"/>
    <mergeCell ref="Q176:R177"/>
    <mergeCell ref="J176:P177"/>
    <mergeCell ref="F176:I177"/>
    <mergeCell ref="C176:E177"/>
    <mergeCell ref="B176:B177"/>
    <mergeCell ref="R185:Z185"/>
    <mergeCell ref="J185:Q185"/>
    <mergeCell ref="D185:I185"/>
    <mergeCell ref="AA93:AC93"/>
    <mergeCell ref="AD91:AM91"/>
    <mergeCell ref="AD186:AM186"/>
    <mergeCell ref="AA186:AC186"/>
    <mergeCell ref="AD184:AM184"/>
    <mergeCell ref="AA184:AC184"/>
    <mergeCell ref="AI180:AP181"/>
    <mergeCell ref="AD183:AM183"/>
    <mergeCell ref="AA183:AC183"/>
    <mergeCell ref="R183:Z183"/>
    <mergeCell ref="J183:Q183"/>
    <mergeCell ref="D183:I183"/>
    <mergeCell ref="R186:Z186"/>
    <mergeCell ref="J186:Q186"/>
    <mergeCell ref="D186:I186"/>
    <mergeCell ref="AD185:AM185"/>
    <mergeCell ref="AA185:AC185"/>
    <mergeCell ref="V180:W181"/>
    <mergeCell ref="Q180:R181"/>
    <mergeCell ref="J180:P181"/>
    <mergeCell ref="F180:I181"/>
    <mergeCell ref="R184:Z184"/>
    <mergeCell ref="J184:Q184"/>
    <mergeCell ref="D184:I184"/>
    <mergeCell ref="C180:E181"/>
    <mergeCell ref="J174:P175"/>
    <mergeCell ref="F174:I175"/>
    <mergeCell ref="C174:E175"/>
    <mergeCell ref="Q168:R169"/>
    <mergeCell ref="D94:I94"/>
    <mergeCell ref="J94:Q94"/>
    <mergeCell ref="R94:Z94"/>
    <mergeCell ref="AA94:AC94"/>
    <mergeCell ref="AD94:AM94"/>
    <mergeCell ref="D93:I93"/>
    <mergeCell ref="J93:Q93"/>
    <mergeCell ref="AE180:AH181"/>
    <mergeCell ref="X180:AD181"/>
    <mergeCell ref="AI174:AP175"/>
    <mergeCell ref="AD92:AM92"/>
    <mergeCell ref="D91:I91"/>
    <mergeCell ref="J91:Q91"/>
    <mergeCell ref="R91:Z91"/>
    <mergeCell ref="D92:I92"/>
    <mergeCell ref="J92:Q92"/>
    <mergeCell ref="R92:Z92"/>
    <mergeCell ref="J168:P169"/>
    <mergeCell ref="F168:I169"/>
    <mergeCell ref="C168:E169"/>
    <mergeCell ref="AI168:AP169"/>
    <mergeCell ref="AE168:AH169"/>
    <mergeCell ref="X168:AD169"/>
    <mergeCell ref="V168:W169"/>
    <mergeCell ref="S164:AB164"/>
    <mergeCell ref="Q164:R164"/>
    <mergeCell ref="P160:S160"/>
    <mergeCell ref="G160:O160"/>
    <mergeCell ref="C160:F160"/>
    <mergeCell ref="AG162:AP162"/>
    <mergeCell ref="AE162:AF162"/>
    <mergeCell ref="S162:AB162"/>
    <mergeCell ref="B88:B89"/>
    <mergeCell ref="C88:E89"/>
    <mergeCell ref="F88:I89"/>
    <mergeCell ref="J88:P89"/>
    <mergeCell ref="Q84:R85"/>
    <mergeCell ref="V84:W85"/>
    <mergeCell ref="X84:AD85"/>
    <mergeCell ref="J84:P85"/>
    <mergeCell ref="R93:Z93"/>
    <mergeCell ref="AA91:AC91"/>
    <mergeCell ref="AI86:AP87"/>
    <mergeCell ref="Q86:R87"/>
    <mergeCell ref="V86:W87"/>
    <mergeCell ref="Q88:R89"/>
    <mergeCell ref="V88:W89"/>
    <mergeCell ref="X88:AD89"/>
    <mergeCell ref="AE88:AH89"/>
    <mergeCell ref="AI88:AP89"/>
    <mergeCell ref="AA92:AC92"/>
    <mergeCell ref="AD93:AM93"/>
    <mergeCell ref="AI84:AP85"/>
    <mergeCell ref="B82:B83"/>
    <mergeCell ref="C82:E83"/>
    <mergeCell ref="F82:I83"/>
    <mergeCell ref="J82:P83"/>
    <mergeCell ref="X82:AD83"/>
    <mergeCell ref="AE82:AH83"/>
    <mergeCell ref="AI82:AP83"/>
    <mergeCell ref="B84:B85"/>
    <mergeCell ref="AE84:AH85"/>
    <mergeCell ref="Q82:R83"/>
    <mergeCell ref="V82:W83"/>
    <mergeCell ref="AE86:AH87"/>
    <mergeCell ref="B86:B87"/>
    <mergeCell ref="C86:E87"/>
    <mergeCell ref="F86:I87"/>
    <mergeCell ref="J86:P87"/>
    <mergeCell ref="C84:E85"/>
    <mergeCell ref="F84:I85"/>
    <mergeCell ref="X86:AD87"/>
    <mergeCell ref="X80:AD81"/>
    <mergeCell ref="AE80:AH81"/>
    <mergeCell ref="AI76:AP77"/>
    <mergeCell ref="B78:B79"/>
    <mergeCell ref="C78:E79"/>
    <mergeCell ref="F78:I79"/>
    <mergeCell ref="J78:P79"/>
    <mergeCell ref="Q78:R79"/>
    <mergeCell ref="V78:W79"/>
    <mergeCell ref="X78:AD79"/>
    <mergeCell ref="B80:B81"/>
    <mergeCell ref="C80:E81"/>
    <mergeCell ref="F80:I81"/>
    <mergeCell ref="J80:P81"/>
    <mergeCell ref="Q80:R81"/>
    <mergeCell ref="V80:W81"/>
    <mergeCell ref="AI80:AP81"/>
    <mergeCell ref="Q76:R77"/>
    <mergeCell ref="V76:W77"/>
    <mergeCell ref="X76:AD77"/>
    <mergeCell ref="X75:AD75"/>
    <mergeCell ref="AE75:AH75"/>
    <mergeCell ref="AE78:AH79"/>
    <mergeCell ref="AI78:AP79"/>
    <mergeCell ref="AE76:AH77"/>
    <mergeCell ref="B76:B77"/>
    <mergeCell ref="C76:E77"/>
    <mergeCell ref="F76:I77"/>
    <mergeCell ref="J76:P77"/>
    <mergeCell ref="AI75:AP75"/>
    <mergeCell ref="C75:E75"/>
    <mergeCell ref="F75:I75"/>
    <mergeCell ref="B64:AB65"/>
    <mergeCell ref="AC64:AJ65"/>
    <mergeCell ref="AK64:AO65"/>
    <mergeCell ref="AP64:AQ65"/>
    <mergeCell ref="J75:P75"/>
    <mergeCell ref="Q75:W75"/>
    <mergeCell ref="AE69:AF69"/>
    <mergeCell ref="AG69:AP69"/>
    <mergeCell ref="Q68:R68"/>
    <mergeCell ref="AG68:AP68"/>
    <mergeCell ref="C69:D69"/>
    <mergeCell ref="E69:N69"/>
    <mergeCell ref="Q70:R70"/>
    <mergeCell ref="S68:AB68"/>
    <mergeCell ref="S70:AB70"/>
    <mergeCell ref="C68:D68"/>
    <mergeCell ref="E68:N68"/>
    <mergeCell ref="AE70:AF70"/>
    <mergeCell ref="S69:AB69"/>
    <mergeCell ref="AG70:AP70"/>
    <mergeCell ref="AD62:AM62"/>
    <mergeCell ref="D63:I63"/>
    <mergeCell ref="J63:Q63"/>
    <mergeCell ref="R63:Z63"/>
    <mergeCell ref="AA63:AC63"/>
    <mergeCell ref="AD63:AM63"/>
    <mergeCell ref="D62:I62"/>
    <mergeCell ref="J62:Q62"/>
    <mergeCell ref="R62:Z62"/>
    <mergeCell ref="AA62:AC62"/>
    <mergeCell ref="C66:F66"/>
    <mergeCell ref="G66:O66"/>
    <mergeCell ref="P66:S66"/>
    <mergeCell ref="T66:AB66"/>
    <mergeCell ref="AC66:AF66"/>
    <mergeCell ref="C70:D70"/>
    <mergeCell ref="E70:N70"/>
    <mergeCell ref="AE68:AF68"/>
    <mergeCell ref="Q69:R69"/>
    <mergeCell ref="AG66:AL66"/>
    <mergeCell ref="AM66:AO66"/>
    <mergeCell ref="B57:B58"/>
    <mergeCell ref="C57:E58"/>
    <mergeCell ref="F57:I58"/>
    <mergeCell ref="J57:P58"/>
    <mergeCell ref="AI55:AP56"/>
    <mergeCell ref="Q57:R58"/>
    <mergeCell ref="V57:W58"/>
    <mergeCell ref="X57:AD58"/>
    <mergeCell ref="AE57:AH58"/>
    <mergeCell ref="AI57:AP58"/>
    <mergeCell ref="AD60:AM60"/>
    <mergeCell ref="D61:I61"/>
    <mergeCell ref="J61:Q61"/>
    <mergeCell ref="R61:Z61"/>
    <mergeCell ref="AA61:AC61"/>
    <mergeCell ref="AD61:AM61"/>
    <mergeCell ref="D60:I60"/>
    <mergeCell ref="J60:Q60"/>
    <mergeCell ref="R60:Z60"/>
    <mergeCell ref="AA60:AC60"/>
    <mergeCell ref="AE53:AH54"/>
    <mergeCell ref="AI53:AP54"/>
    <mergeCell ref="B51:B52"/>
    <mergeCell ref="C51:E52"/>
    <mergeCell ref="F51:I52"/>
    <mergeCell ref="J51:P52"/>
    <mergeCell ref="Q51:R52"/>
    <mergeCell ref="V51:W52"/>
    <mergeCell ref="X51:AD52"/>
    <mergeCell ref="AE51:AH52"/>
    <mergeCell ref="V53:W54"/>
    <mergeCell ref="X53:AD54"/>
    <mergeCell ref="AI45:AP46"/>
    <mergeCell ref="B55:B56"/>
    <mergeCell ref="C55:E56"/>
    <mergeCell ref="F55:I56"/>
    <mergeCell ref="J55:P56"/>
    <mergeCell ref="Q55:R56"/>
    <mergeCell ref="V55:W56"/>
    <mergeCell ref="X55:AD56"/>
    <mergeCell ref="AE55:AH56"/>
    <mergeCell ref="AI51:AP52"/>
    <mergeCell ref="B53:B54"/>
    <mergeCell ref="C53:E54"/>
    <mergeCell ref="F53:I54"/>
    <mergeCell ref="J53:P54"/>
    <mergeCell ref="Q53:R54"/>
    <mergeCell ref="Q45:R46"/>
    <mergeCell ref="V45:W46"/>
    <mergeCell ref="Q47:R48"/>
    <mergeCell ref="V47:W48"/>
    <mergeCell ref="B45:B46"/>
    <mergeCell ref="C45:E46"/>
    <mergeCell ref="F45:I46"/>
    <mergeCell ref="J45:P46"/>
    <mergeCell ref="B47:B48"/>
    <mergeCell ref="C47:E48"/>
    <mergeCell ref="AI47:AP48"/>
    <mergeCell ref="C39:D39"/>
    <mergeCell ref="E39:N39"/>
    <mergeCell ref="Q49:R50"/>
    <mergeCell ref="V49:W50"/>
    <mergeCell ref="X49:AD50"/>
    <mergeCell ref="AE49:AH50"/>
    <mergeCell ref="AI49:AP50"/>
    <mergeCell ref="B49:B50"/>
    <mergeCell ref="C49:E50"/>
    <mergeCell ref="F49:I50"/>
    <mergeCell ref="J49:P50"/>
    <mergeCell ref="X47:AD48"/>
    <mergeCell ref="AE47:AH48"/>
    <mergeCell ref="F47:I48"/>
    <mergeCell ref="J47:P48"/>
    <mergeCell ref="X45:AD46"/>
    <mergeCell ref="AE45:AH46"/>
    <mergeCell ref="C37:D37"/>
    <mergeCell ref="E37:N37"/>
    <mergeCell ref="C38:D38"/>
    <mergeCell ref="E38:N38"/>
    <mergeCell ref="AE38:AF38"/>
    <mergeCell ref="C35:F35"/>
    <mergeCell ref="AK33:AO34"/>
    <mergeCell ref="X44:AD44"/>
    <mergeCell ref="AE44:AH44"/>
    <mergeCell ref="AG38:AP38"/>
    <mergeCell ref="Q37:R37"/>
    <mergeCell ref="S37:AB37"/>
    <mergeCell ref="AG37:AP37"/>
    <mergeCell ref="AE37:AF37"/>
    <mergeCell ref="S38:AB38"/>
    <mergeCell ref="C44:E44"/>
    <mergeCell ref="F44:I44"/>
    <mergeCell ref="J44:P44"/>
    <mergeCell ref="Q44:W44"/>
    <mergeCell ref="AP33:AQ34"/>
    <mergeCell ref="Q38:R38"/>
    <mergeCell ref="Q39:R39"/>
    <mergeCell ref="S39:AB39"/>
    <mergeCell ref="AE39:AF39"/>
    <mergeCell ref="AG39:AP39"/>
    <mergeCell ref="AI44:AP44"/>
    <mergeCell ref="J30:Q30"/>
    <mergeCell ref="R30:Z30"/>
    <mergeCell ref="AA30:AC30"/>
    <mergeCell ref="AD28:AM28"/>
    <mergeCell ref="D29:I29"/>
    <mergeCell ref="J29:Q29"/>
    <mergeCell ref="R29:Z29"/>
    <mergeCell ref="AA29:AC29"/>
    <mergeCell ref="AD29:AM29"/>
    <mergeCell ref="D28:I28"/>
    <mergeCell ref="J23:P24"/>
    <mergeCell ref="G35:O35"/>
    <mergeCell ref="P35:S35"/>
    <mergeCell ref="T35:AB35"/>
    <mergeCell ref="AD30:AM30"/>
    <mergeCell ref="D31:I31"/>
    <mergeCell ref="J31:Q31"/>
    <mergeCell ref="R31:Z31"/>
    <mergeCell ref="AA31:AC31"/>
    <mergeCell ref="AD31:AM31"/>
    <mergeCell ref="D30:I30"/>
    <mergeCell ref="AC35:AF35"/>
    <mergeCell ref="B33:AB34"/>
    <mergeCell ref="Q23:R24"/>
    <mergeCell ref="V23:W24"/>
    <mergeCell ref="AG35:AL35"/>
    <mergeCell ref="AM35:AO35"/>
    <mergeCell ref="AC33:AJ34"/>
    <mergeCell ref="B23:B24"/>
    <mergeCell ref="C23:E24"/>
    <mergeCell ref="F23:I24"/>
    <mergeCell ref="X23:AD24"/>
    <mergeCell ref="AE23:AH24"/>
    <mergeCell ref="AI23:AP24"/>
    <mergeCell ref="Q25:R26"/>
    <mergeCell ref="V25:W26"/>
    <mergeCell ref="X25:AD26"/>
    <mergeCell ref="AE25:AH26"/>
    <mergeCell ref="AI25:AP26"/>
    <mergeCell ref="J28:Q28"/>
    <mergeCell ref="R28:Z28"/>
    <mergeCell ref="AA28:AC28"/>
    <mergeCell ref="B25:B26"/>
    <mergeCell ref="C25:E26"/>
    <mergeCell ref="F25:I26"/>
    <mergeCell ref="J25:P26"/>
    <mergeCell ref="F17:I18"/>
    <mergeCell ref="J17:P18"/>
    <mergeCell ref="AI21:AP22"/>
    <mergeCell ref="B19:B20"/>
    <mergeCell ref="C19:E20"/>
    <mergeCell ref="F19:I20"/>
    <mergeCell ref="J19:P20"/>
    <mergeCell ref="X19:AD20"/>
    <mergeCell ref="AE19:AH20"/>
    <mergeCell ref="AI19:AP20"/>
    <mergeCell ref="C21:E22"/>
    <mergeCell ref="F21:I22"/>
    <mergeCell ref="J21:P22"/>
    <mergeCell ref="X21:AD22"/>
    <mergeCell ref="AE21:AH22"/>
    <mergeCell ref="Q21:R22"/>
    <mergeCell ref="V21:W22"/>
    <mergeCell ref="B21:B22"/>
    <mergeCell ref="Q19:R20"/>
    <mergeCell ref="V19:W20"/>
    <mergeCell ref="B13:B14"/>
    <mergeCell ref="C13:E14"/>
    <mergeCell ref="F13:I14"/>
    <mergeCell ref="J13:P14"/>
    <mergeCell ref="C7:D7"/>
    <mergeCell ref="E7:N7"/>
    <mergeCell ref="Q17:R18"/>
    <mergeCell ref="V17:W18"/>
    <mergeCell ref="X17:AD18"/>
    <mergeCell ref="AE17:AH18"/>
    <mergeCell ref="AI13:AP14"/>
    <mergeCell ref="AE5:AF5"/>
    <mergeCell ref="X12:AD12"/>
    <mergeCell ref="AE12:AH12"/>
    <mergeCell ref="S6:AB6"/>
    <mergeCell ref="AI12:AP12"/>
    <mergeCell ref="Q13:R14"/>
    <mergeCell ref="V13:W14"/>
    <mergeCell ref="X13:AD14"/>
    <mergeCell ref="AE13:AH14"/>
    <mergeCell ref="AI17:AP18"/>
    <mergeCell ref="Q15:R16"/>
    <mergeCell ref="V15:W16"/>
    <mergeCell ref="X15:AD16"/>
    <mergeCell ref="AE15:AH16"/>
    <mergeCell ref="AI15:AP16"/>
    <mergeCell ref="B15:B16"/>
    <mergeCell ref="C15:E16"/>
    <mergeCell ref="F15:I16"/>
    <mergeCell ref="J15:P16"/>
    <mergeCell ref="B17:B18"/>
    <mergeCell ref="C17:E18"/>
    <mergeCell ref="AK1:AO2"/>
    <mergeCell ref="AP1:AQ2"/>
    <mergeCell ref="C12:E12"/>
    <mergeCell ref="F12:I12"/>
    <mergeCell ref="J12:P12"/>
    <mergeCell ref="Q12:W12"/>
    <mergeCell ref="C3:F3"/>
    <mergeCell ref="G3:O3"/>
    <mergeCell ref="P3:S3"/>
    <mergeCell ref="Q7:R7"/>
    <mergeCell ref="S7:AB7"/>
    <mergeCell ref="AE7:AF7"/>
    <mergeCell ref="AG7:AP7"/>
    <mergeCell ref="T3:AB3"/>
    <mergeCell ref="AC3:AF3"/>
    <mergeCell ref="AG3:AL3"/>
    <mergeCell ref="AM3:AO3"/>
    <mergeCell ref="B1:AB2"/>
    <mergeCell ref="AC1:AJ2"/>
    <mergeCell ref="C5:D5"/>
    <mergeCell ref="E5:N5"/>
    <mergeCell ref="Q6:R6"/>
    <mergeCell ref="Q5:R5"/>
    <mergeCell ref="C6:D6"/>
    <mergeCell ref="E6:N6"/>
    <mergeCell ref="AG6:AP6"/>
    <mergeCell ref="AG5:AP5"/>
    <mergeCell ref="AE6:AF6"/>
    <mergeCell ref="S5:AB5"/>
  </mergeCells>
  <phoneticPr fontId="25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9" pageOrder="overThenDown" orientation="landscape" horizontalDpi="300" verticalDpi="300" r:id="rId1"/>
  <headerFooter>
    <oddFooter>&amp;RVer. 4.20.2</oddFooter>
  </headerFooter>
  <rowBreaks count="11" manualBreakCount="11">
    <brk id="32" max="42" man="1"/>
    <brk id="63" max="42" man="1"/>
    <brk id="95" max="42" man="1"/>
    <brk id="125" max="42" man="1"/>
    <brk id="156" max="42" man="1"/>
    <brk id="186" max="42" man="1"/>
    <brk id="216" max="42" man="1"/>
    <brk id="247" max="42" man="1"/>
    <brk id="278" max="42" man="1"/>
    <brk id="308" max="42" man="1"/>
    <brk id="339" max="4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BB414"/>
  <sheetViews>
    <sheetView zoomScaleNormal="100" zoomScaleSheetLayoutView="90" workbookViewId="0">
      <pane xSplit="47" ySplit="2" topLeftCell="AV3" activePane="bottomRight" state="frozen"/>
      <selection pane="topRight" activeCell="AV1" sqref="AV1"/>
      <selection pane="bottomLeft" activeCell="A3" sqref="A3"/>
      <selection pane="bottomRight" activeCell="AV3" sqref="AV3"/>
    </sheetView>
  </sheetViews>
  <sheetFormatPr defaultRowHeight="15.75" x14ac:dyDescent="0.4"/>
  <cols>
    <col min="1" max="1" width="3.125" style="96" customWidth="1"/>
    <col min="2" max="2" width="5" style="96" customWidth="1"/>
    <col min="3" max="4" width="3.125" style="96" customWidth="1"/>
    <col min="5" max="5" width="4.5" style="96" customWidth="1"/>
    <col min="6" max="43" width="3.125" style="96" customWidth="1"/>
    <col min="44" max="44" width="9.125" style="96" hidden="1" customWidth="1"/>
    <col min="45" max="45" width="7.5" style="96" hidden="1" customWidth="1"/>
    <col min="46" max="46" width="9" style="102" hidden="1" customWidth="1"/>
    <col min="47" max="47" width="9" style="96" hidden="1" customWidth="1"/>
    <col min="48" max="16384" width="9" style="96"/>
  </cols>
  <sheetData>
    <row r="1" spans="1:45" ht="14.25" customHeight="1" x14ac:dyDescent="0.4">
      <c r="A1" s="115"/>
      <c r="B1" s="599" t="str">
        <f>U12組合せ!$B$1</f>
        <v>ＪＦＡ　Ｕ-１２サッカーリーグ2021（in栃木） 宇都宮地区リーグ戦（前期）</v>
      </c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599"/>
      <c r="AA1" s="599"/>
      <c r="AB1" s="599"/>
      <c r="AC1" s="612" t="str">
        <f>"【"&amp;(U12組合せ!$H$3)&amp;"】"</f>
        <v>【Ｃ ブロック】</v>
      </c>
      <c r="AD1" s="612"/>
      <c r="AE1" s="612"/>
      <c r="AF1" s="612"/>
      <c r="AG1" s="612"/>
      <c r="AH1" s="612"/>
      <c r="AI1" s="612"/>
      <c r="AJ1" s="612"/>
      <c r="AK1" s="602" t="str">
        <f>"第"&amp;(U12組合せ!$D$21)</f>
        <v>第１節</v>
      </c>
      <c r="AL1" s="602"/>
      <c r="AM1" s="602"/>
      <c r="AN1" s="602"/>
      <c r="AO1" s="602"/>
      <c r="AP1" s="597" t="s">
        <v>299</v>
      </c>
      <c r="AQ1" s="598"/>
    </row>
    <row r="2" spans="1:45" ht="27.75" customHeight="1" x14ac:dyDescent="0.4">
      <c r="A2" s="115"/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601"/>
      <c r="AD2" s="601"/>
      <c r="AE2" s="601"/>
      <c r="AF2" s="601"/>
      <c r="AG2" s="601"/>
      <c r="AH2" s="601"/>
      <c r="AI2" s="601"/>
      <c r="AJ2" s="601"/>
      <c r="AK2" s="601"/>
      <c r="AL2" s="601"/>
      <c r="AM2" s="601"/>
      <c r="AN2" s="601"/>
      <c r="AO2" s="601"/>
      <c r="AP2" s="598"/>
      <c r="AQ2" s="598"/>
    </row>
    <row r="3" spans="1:45" ht="27.75" customHeight="1" x14ac:dyDescent="0.4">
      <c r="C3" s="635" t="s">
        <v>1</v>
      </c>
      <c r="D3" s="635"/>
      <c r="E3" s="635"/>
      <c r="F3" s="635"/>
      <c r="G3" s="725" t="str">
        <f>U12対戦スケジュール!O6</f>
        <v>石井 4 PM</v>
      </c>
      <c r="H3" s="726"/>
      <c r="I3" s="726"/>
      <c r="J3" s="726"/>
      <c r="K3" s="726"/>
      <c r="L3" s="726"/>
      <c r="M3" s="726"/>
      <c r="N3" s="726"/>
      <c r="O3" s="727"/>
      <c r="P3" s="635" t="s">
        <v>0</v>
      </c>
      <c r="Q3" s="635"/>
      <c r="R3" s="635"/>
      <c r="S3" s="635"/>
      <c r="T3" s="636" t="str">
        <f>E5</f>
        <v>FCアリーバ</v>
      </c>
      <c r="U3" s="636"/>
      <c r="V3" s="636"/>
      <c r="W3" s="636"/>
      <c r="X3" s="636"/>
      <c r="Y3" s="636"/>
      <c r="Z3" s="636"/>
      <c r="AA3" s="636"/>
      <c r="AB3" s="636"/>
      <c r="AC3" s="635" t="s">
        <v>2</v>
      </c>
      <c r="AD3" s="635"/>
      <c r="AE3" s="635"/>
      <c r="AF3" s="635"/>
      <c r="AG3" s="618">
        <f>U12対戦スケジュール!F3</f>
        <v>44296</v>
      </c>
      <c r="AH3" s="619"/>
      <c r="AI3" s="619"/>
      <c r="AJ3" s="619"/>
      <c r="AK3" s="619"/>
      <c r="AL3" s="619"/>
      <c r="AM3" s="620" t="str">
        <f>"（"&amp;TEXT(AG3,"aaa")&amp;"）"</f>
        <v>（土）</v>
      </c>
      <c r="AN3" s="620"/>
      <c r="AO3" s="621"/>
    </row>
    <row r="4" spans="1:45" ht="15" customHeight="1" x14ac:dyDescent="0.4">
      <c r="C4" s="96" t="str">
        <f>U12組合せ!I22</f>
        <v>C123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95"/>
      <c r="X4" s="95"/>
      <c r="Y4" s="95"/>
      <c r="Z4" s="95"/>
      <c r="AA4" s="95"/>
      <c r="AB4" s="95"/>
      <c r="AC4" s="95"/>
    </row>
    <row r="5" spans="1:45" ht="29.25" customHeight="1" x14ac:dyDescent="0.4">
      <c r="C5" s="745">
        <v>1</v>
      </c>
      <c r="D5" s="745"/>
      <c r="E5" s="785" t="str">
        <f>VLOOKUP(C5,U12組合せ!B$10:K$19,7,TRUE)</f>
        <v>FCアリーバ</v>
      </c>
      <c r="F5" s="785"/>
      <c r="G5" s="785"/>
      <c r="H5" s="785"/>
      <c r="I5" s="785"/>
      <c r="J5" s="785"/>
      <c r="K5" s="785"/>
      <c r="L5" s="785"/>
      <c r="M5" s="785"/>
      <c r="N5" s="785"/>
      <c r="O5" s="125"/>
      <c r="P5" s="125"/>
      <c r="Q5" s="786">
        <v>4</v>
      </c>
      <c r="R5" s="786"/>
      <c r="S5" s="787" t="str">
        <f>VLOOKUP(Q5,U12組合せ!B$10:K$19,7,TRUE)</f>
        <v>ともぞうSC　U11</v>
      </c>
      <c r="T5" s="787"/>
      <c r="U5" s="787"/>
      <c r="V5" s="787"/>
      <c r="W5" s="787"/>
      <c r="X5" s="787"/>
      <c r="Y5" s="787"/>
      <c r="Z5" s="787"/>
      <c r="AA5" s="787"/>
      <c r="AB5" s="787"/>
      <c r="AC5" s="112"/>
      <c r="AD5" s="113"/>
      <c r="AE5" s="786">
        <v>7</v>
      </c>
      <c r="AF5" s="786"/>
      <c r="AG5" s="787" t="str">
        <f>VLOOKUP(AE5,U12組合せ!B$10:K$19,7,TRUE)</f>
        <v>雀宮FC</v>
      </c>
      <c r="AH5" s="787"/>
      <c r="AI5" s="787"/>
      <c r="AJ5" s="787"/>
      <c r="AK5" s="787"/>
      <c r="AL5" s="787"/>
      <c r="AM5" s="787"/>
      <c r="AN5" s="787"/>
      <c r="AO5" s="787"/>
      <c r="AP5" s="787"/>
    </row>
    <row r="6" spans="1:45" ht="29.25" customHeight="1" x14ac:dyDescent="0.4">
      <c r="C6" s="745">
        <v>2</v>
      </c>
      <c r="D6" s="745"/>
      <c r="E6" s="785" t="str">
        <f>VLOOKUP(C6,U12組合せ!B$10:K$19,7,TRUE)</f>
        <v>カテット白沢SS</v>
      </c>
      <c r="F6" s="785"/>
      <c r="G6" s="785"/>
      <c r="H6" s="785"/>
      <c r="I6" s="785"/>
      <c r="J6" s="785"/>
      <c r="K6" s="785"/>
      <c r="L6" s="785"/>
      <c r="M6" s="785"/>
      <c r="N6" s="785"/>
      <c r="O6" s="125"/>
      <c r="P6" s="125"/>
      <c r="Q6" s="786">
        <v>5</v>
      </c>
      <c r="R6" s="786"/>
      <c r="S6" s="787" t="str">
        <f>VLOOKUP(Q6,U12組合せ!B$10:K$19,7,TRUE)</f>
        <v>豊郷JFC宇都宮U-12</v>
      </c>
      <c r="T6" s="787"/>
      <c r="U6" s="787"/>
      <c r="V6" s="787"/>
      <c r="W6" s="787"/>
      <c r="X6" s="787"/>
      <c r="Y6" s="787"/>
      <c r="Z6" s="787"/>
      <c r="AA6" s="787"/>
      <c r="AB6" s="787"/>
      <c r="AC6" s="112"/>
      <c r="AD6" s="113"/>
      <c r="AE6" s="786">
        <v>8</v>
      </c>
      <c r="AF6" s="786"/>
      <c r="AG6" s="787" t="str">
        <f>VLOOKUP(AE6,U12組合せ!B$10:K$19,7,TRUE)</f>
        <v>FCみらいP</v>
      </c>
      <c r="AH6" s="787"/>
      <c r="AI6" s="787"/>
      <c r="AJ6" s="787"/>
      <c r="AK6" s="787"/>
      <c r="AL6" s="787"/>
      <c r="AM6" s="787"/>
      <c r="AN6" s="787"/>
      <c r="AO6" s="787"/>
      <c r="AP6" s="787"/>
    </row>
    <row r="7" spans="1:45" ht="29.25" customHeight="1" x14ac:dyDescent="0.4">
      <c r="C7" s="745">
        <v>3</v>
      </c>
      <c r="D7" s="745"/>
      <c r="E7" s="785" t="str">
        <f>VLOOKUP(C7,U12組合せ!B$10:K$19,7,TRUE)</f>
        <v>リフレSCチェルビアット</v>
      </c>
      <c r="F7" s="785"/>
      <c r="G7" s="785"/>
      <c r="H7" s="785"/>
      <c r="I7" s="785"/>
      <c r="J7" s="785"/>
      <c r="K7" s="785"/>
      <c r="L7" s="785"/>
      <c r="M7" s="785"/>
      <c r="N7" s="785"/>
      <c r="O7" s="125"/>
      <c r="P7" s="125"/>
      <c r="Q7" s="786">
        <v>6</v>
      </c>
      <c r="R7" s="786"/>
      <c r="S7" s="787" t="str">
        <f>VLOOKUP(Q7,U12組合せ!B$10:K$19,7,TRUE)</f>
        <v>シャルムグランツSC</v>
      </c>
      <c r="T7" s="787"/>
      <c r="U7" s="787"/>
      <c r="V7" s="787"/>
      <c r="W7" s="787"/>
      <c r="X7" s="787"/>
      <c r="Y7" s="787"/>
      <c r="Z7" s="787"/>
      <c r="AA7" s="787"/>
      <c r="AB7" s="787"/>
      <c r="AC7" s="112"/>
      <c r="AD7" s="113"/>
      <c r="AE7" s="786">
        <v>9</v>
      </c>
      <c r="AF7" s="786"/>
      <c r="AG7" s="787" t="str">
        <f>VLOOKUP(AE7,U12組合せ!B$10:K$19,7,TRUE)</f>
        <v>みはらSC jr</v>
      </c>
      <c r="AH7" s="787"/>
      <c r="AI7" s="787"/>
      <c r="AJ7" s="787"/>
      <c r="AK7" s="787"/>
      <c r="AL7" s="787"/>
      <c r="AM7" s="787"/>
      <c r="AN7" s="787"/>
      <c r="AO7" s="787"/>
      <c r="AP7" s="787"/>
    </row>
    <row r="8" spans="1:45" ht="9" customHeight="1" x14ac:dyDescent="0.4">
      <c r="B8" s="102"/>
      <c r="O8" s="102"/>
      <c r="P8" s="102"/>
      <c r="AC8" s="95"/>
      <c r="AD8" s="102"/>
      <c r="AE8" s="102"/>
      <c r="AF8" s="102"/>
      <c r="AG8" s="102"/>
    </row>
    <row r="9" spans="1:45" ht="8.25" customHeight="1" x14ac:dyDescent="0.4">
      <c r="O9" s="102"/>
      <c r="P9" s="102"/>
      <c r="AC9" s="95"/>
    </row>
    <row r="10" spans="1:45" ht="8.25" customHeight="1" x14ac:dyDescent="0.4">
      <c r="C10" s="117"/>
      <c r="D10" s="118"/>
      <c r="E10" s="118"/>
      <c r="F10" s="118"/>
      <c r="G10" s="118"/>
      <c r="H10" s="118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18"/>
      <c r="U10" s="102"/>
      <c r="V10" s="118"/>
      <c r="W10" s="102"/>
      <c r="X10" s="118"/>
      <c r="Y10" s="102"/>
      <c r="Z10" s="118"/>
      <c r="AA10" s="102"/>
      <c r="AB10" s="118"/>
      <c r="AC10" s="118"/>
    </row>
    <row r="11" spans="1:45" ht="21" customHeight="1" x14ac:dyDescent="0.4">
      <c r="B11" s="118" t="str">
        <f ca="1">IF(B13="①","【監督会議 8：20～】","【監督会議 12：50～】")</f>
        <v>【監督会議 12：50～】</v>
      </c>
      <c r="I11" s="96" t="s">
        <v>330</v>
      </c>
    </row>
    <row r="12" spans="1:45" ht="20.25" customHeight="1" x14ac:dyDescent="0.4">
      <c r="B12" s="97"/>
      <c r="C12" s="711" t="s">
        <v>3</v>
      </c>
      <c r="D12" s="711"/>
      <c r="E12" s="711"/>
      <c r="F12" s="712" t="s">
        <v>4</v>
      </c>
      <c r="G12" s="712"/>
      <c r="H12" s="712"/>
      <c r="I12" s="712"/>
      <c r="J12" s="711" t="s">
        <v>5</v>
      </c>
      <c r="K12" s="713"/>
      <c r="L12" s="713"/>
      <c r="M12" s="713"/>
      <c r="N12" s="713"/>
      <c r="O12" s="713"/>
      <c r="P12" s="713"/>
      <c r="Q12" s="711" t="s">
        <v>32</v>
      </c>
      <c r="R12" s="711"/>
      <c r="S12" s="711"/>
      <c r="T12" s="711"/>
      <c r="U12" s="711"/>
      <c r="V12" s="711"/>
      <c r="W12" s="711"/>
      <c r="X12" s="711" t="s">
        <v>5</v>
      </c>
      <c r="Y12" s="713"/>
      <c r="Z12" s="713"/>
      <c r="AA12" s="713"/>
      <c r="AB12" s="713"/>
      <c r="AC12" s="713"/>
      <c r="AD12" s="713"/>
      <c r="AE12" s="712" t="s">
        <v>4</v>
      </c>
      <c r="AF12" s="712"/>
      <c r="AG12" s="712"/>
      <c r="AH12" s="712"/>
      <c r="AI12" s="711" t="s">
        <v>6</v>
      </c>
      <c r="AJ12" s="711"/>
      <c r="AK12" s="713"/>
      <c r="AL12" s="713"/>
      <c r="AM12" s="713"/>
      <c r="AN12" s="713"/>
      <c r="AO12" s="713"/>
      <c r="AP12" s="713"/>
    </row>
    <row r="13" spans="1:45" ht="20.100000000000001" customHeight="1" x14ac:dyDescent="0.4">
      <c r="B13" s="644" t="str">
        <f ca="1">DBCS(INDIRECT("U12対戦スケジュール!ｍ"&amp;(ROW()-1)/2+2))</f>
        <v>④</v>
      </c>
      <c r="C13" s="645">
        <f ca="1">INDIRECT("U12対戦スケジュール!ｎ"&amp;(ROW()-1)/2+2)</f>
        <v>0.5625</v>
      </c>
      <c r="D13" s="646"/>
      <c r="E13" s="647"/>
      <c r="F13" s="583"/>
      <c r="G13" s="583"/>
      <c r="H13" s="583"/>
      <c r="I13" s="583"/>
      <c r="J13" s="746" t="str">
        <f>VLOOKUP(AR13,U12組合せ!B$10:K$19,7,TRUE)</f>
        <v>FCアリーバ</v>
      </c>
      <c r="K13" s="747"/>
      <c r="L13" s="747"/>
      <c r="M13" s="747"/>
      <c r="N13" s="747"/>
      <c r="O13" s="747"/>
      <c r="P13" s="747"/>
      <c r="Q13" s="634">
        <f>IF(OR(S13="",S14=""),"",S13+S14)</f>
        <v>8</v>
      </c>
      <c r="R13" s="634"/>
      <c r="S13" s="100">
        <v>7</v>
      </c>
      <c r="T13" s="101" t="s">
        <v>7</v>
      </c>
      <c r="U13" s="100">
        <v>0</v>
      </c>
      <c r="V13" s="634">
        <f>IF(OR(U13="",U14=""),"",U13+U14)</f>
        <v>0</v>
      </c>
      <c r="W13" s="634"/>
      <c r="X13" s="746" t="str">
        <f>VLOOKUP(AS13,U12組合せ!B$10:K$19,7,TRUE)</f>
        <v>カテット白沢SS</v>
      </c>
      <c r="Y13" s="747"/>
      <c r="Z13" s="747"/>
      <c r="AA13" s="747"/>
      <c r="AB13" s="747"/>
      <c r="AC13" s="747"/>
      <c r="AD13" s="747"/>
      <c r="AE13" s="583"/>
      <c r="AF13" s="583"/>
      <c r="AG13" s="583"/>
      <c r="AH13" s="583"/>
      <c r="AI13" s="634" t="str">
        <f ca="1">DBCS(INDIRECT("U12対戦スケジュール!R"&amp;(ROW()-1)/2+2))</f>
        <v>３／１／２／３</v>
      </c>
      <c r="AJ13" s="583"/>
      <c r="AK13" s="583"/>
      <c r="AL13" s="583"/>
      <c r="AM13" s="583"/>
      <c r="AN13" s="583"/>
      <c r="AO13" s="583"/>
      <c r="AP13" s="583"/>
      <c r="AR13" s="119">
        <v>1</v>
      </c>
      <c r="AS13" s="119">
        <v>2</v>
      </c>
    </row>
    <row r="14" spans="1:45" ht="20.100000000000001" customHeight="1" x14ac:dyDescent="0.4">
      <c r="B14" s="644"/>
      <c r="C14" s="648"/>
      <c r="D14" s="649"/>
      <c r="E14" s="650"/>
      <c r="F14" s="583"/>
      <c r="G14" s="583"/>
      <c r="H14" s="583"/>
      <c r="I14" s="583"/>
      <c r="J14" s="747"/>
      <c r="K14" s="747"/>
      <c r="L14" s="747"/>
      <c r="M14" s="747"/>
      <c r="N14" s="747"/>
      <c r="O14" s="747"/>
      <c r="P14" s="747"/>
      <c r="Q14" s="634"/>
      <c r="R14" s="634"/>
      <c r="S14" s="100">
        <v>1</v>
      </c>
      <c r="T14" s="101" t="s">
        <v>7</v>
      </c>
      <c r="U14" s="100">
        <v>0</v>
      </c>
      <c r="V14" s="634"/>
      <c r="W14" s="634"/>
      <c r="X14" s="747"/>
      <c r="Y14" s="747"/>
      <c r="Z14" s="747"/>
      <c r="AA14" s="747"/>
      <c r="AB14" s="747"/>
      <c r="AC14" s="747"/>
      <c r="AD14" s="747"/>
      <c r="AE14" s="583"/>
      <c r="AF14" s="583"/>
      <c r="AG14" s="583"/>
      <c r="AH14" s="583"/>
      <c r="AI14" s="583"/>
      <c r="AJ14" s="583"/>
      <c r="AK14" s="583"/>
      <c r="AL14" s="583"/>
      <c r="AM14" s="583"/>
      <c r="AN14" s="583"/>
      <c r="AO14" s="583"/>
      <c r="AP14" s="583"/>
      <c r="AR14" s="119"/>
      <c r="AS14" s="119"/>
    </row>
    <row r="15" spans="1:45" ht="20.100000000000001" customHeight="1" x14ac:dyDescent="0.4">
      <c r="B15" s="644" t="str">
        <f ca="1">DBCS(INDIRECT("U12対戦スケジュール!ｍ"&amp;(ROW()-1)/2+2))</f>
        <v>⑤</v>
      </c>
      <c r="C15" s="645">
        <f ca="1">INDIRECT("U12対戦スケジュール!ｎ"&amp;(ROW()-1)/2+2)</f>
        <v>0.60450000000000004</v>
      </c>
      <c r="D15" s="646"/>
      <c r="E15" s="647"/>
      <c r="F15" s="583"/>
      <c r="G15" s="583"/>
      <c r="H15" s="583"/>
      <c r="I15" s="583"/>
      <c r="J15" s="746" t="str">
        <f>VLOOKUP(AR15,U12組合せ!B$10:K$19,7,TRUE)</f>
        <v>リフレSCチェルビアット</v>
      </c>
      <c r="K15" s="747"/>
      <c r="L15" s="747"/>
      <c r="M15" s="747"/>
      <c r="N15" s="747"/>
      <c r="O15" s="747"/>
      <c r="P15" s="747"/>
      <c r="Q15" s="634">
        <f>IF(OR(S15="",S16=""),"",S15+S16)</f>
        <v>2</v>
      </c>
      <c r="R15" s="634"/>
      <c r="S15" s="100">
        <v>1</v>
      </c>
      <c r="T15" s="101" t="s">
        <v>7</v>
      </c>
      <c r="U15" s="100">
        <v>0</v>
      </c>
      <c r="V15" s="634">
        <f>IF(OR(U15="",U16=""),"",U15+U16)</f>
        <v>0</v>
      </c>
      <c r="W15" s="634"/>
      <c r="X15" s="746" t="str">
        <f>VLOOKUP(AS15,U12組合せ!B$10:K$19,7,TRUE)</f>
        <v>カテット白沢SS</v>
      </c>
      <c r="Y15" s="747"/>
      <c r="Z15" s="747"/>
      <c r="AA15" s="747"/>
      <c r="AB15" s="747"/>
      <c r="AC15" s="747"/>
      <c r="AD15" s="747"/>
      <c r="AE15" s="583"/>
      <c r="AF15" s="583"/>
      <c r="AG15" s="583"/>
      <c r="AH15" s="583"/>
      <c r="AI15" s="634" t="str">
        <f ca="1">DBCS(INDIRECT("U12対戦スケジュール!R"&amp;(ROW()-1)/2+2))</f>
        <v>１／２／３／１</v>
      </c>
      <c r="AJ15" s="583"/>
      <c r="AK15" s="583"/>
      <c r="AL15" s="583"/>
      <c r="AM15" s="583"/>
      <c r="AN15" s="583"/>
      <c r="AO15" s="583"/>
      <c r="AP15" s="583"/>
      <c r="AR15" s="119">
        <v>3</v>
      </c>
      <c r="AS15" s="119">
        <v>2</v>
      </c>
    </row>
    <row r="16" spans="1:45" ht="20.100000000000001" customHeight="1" x14ac:dyDescent="0.4">
      <c r="B16" s="644"/>
      <c r="C16" s="648"/>
      <c r="D16" s="649"/>
      <c r="E16" s="650"/>
      <c r="F16" s="583"/>
      <c r="G16" s="583"/>
      <c r="H16" s="583"/>
      <c r="I16" s="583"/>
      <c r="J16" s="747"/>
      <c r="K16" s="747"/>
      <c r="L16" s="747"/>
      <c r="M16" s="747"/>
      <c r="N16" s="747"/>
      <c r="O16" s="747"/>
      <c r="P16" s="747"/>
      <c r="Q16" s="634"/>
      <c r="R16" s="634"/>
      <c r="S16" s="100">
        <v>1</v>
      </c>
      <c r="T16" s="101" t="s">
        <v>7</v>
      </c>
      <c r="U16" s="100">
        <v>0</v>
      </c>
      <c r="V16" s="634"/>
      <c r="W16" s="634"/>
      <c r="X16" s="747"/>
      <c r="Y16" s="747"/>
      <c r="Z16" s="747"/>
      <c r="AA16" s="747"/>
      <c r="AB16" s="747"/>
      <c r="AC16" s="747"/>
      <c r="AD16" s="747"/>
      <c r="AE16" s="583"/>
      <c r="AF16" s="583"/>
      <c r="AG16" s="583"/>
      <c r="AH16" s="583"/>
      <c r="AI16" s="583"/>
      <c r="AJ16" s="583"/>
      <c r="AK16" s="583"/>
      <c r="AL16" s="583"/>
      <c r="AM16" s="583"/>
      <c r="AN16" s="583"/>
      <c r="AO16" s="583"/>
      <c r="AP16" s="583"/>
      <c r="AR16" s="119"/>
      <c r="AS16" s="119"/>
    </row>
    <row r="17" spans="1:45" ht="20.100000000000001" customHeight="1" x14ac:dyDescent="0.4">
      <c r="B17" s="644" t="str">
        <f ca="1">DBCS(INDIRECT("U12対戦スケジュール!ｍ"&amp;(ROW()-1)/2+2))</f>
        <v>⑥</v>
      </c>
      <c r="C17" s="645">
        <f ca="1">INDIRECT("U12対戦スケジュール!ｎ"&amp;(ROW()-1)/2+2)</f>
        <v>0.64650000000000007</v>
      </c>
      <c r="D17" s="646"/>
      <c r="E17" s="647"/>
      <c r="F17" s="583"/>
      <c r="G17" s="583"/>
      <c r="H17" s="583"/>
      <c r="I17" s="583"/>
      <c r="J17" s="746" t="str">
        <f>VLOOKUP(AR17,U12組合せ!B$10:K$19,7,TRUE)</f>
        <v>リフレSCチェルビアット</v>
      </c>
      <c r="K17" s="747"/>
      <c r="L17" s="747"/>
      <c r="M17" s="747"/>
      <c r="N17" s="747"/>
      <c r="O17" s="747"/>
      <c r="P17" s="747"/>
      <c r="Q17" s="634">
        <f>IF(OR(S17="",S18=""),"",S17+S18)</f>
        <v>0</v>
      </c>
      <c r="R17" s="634"/>
      <c r="S17" s="100">
        <v>0</v>
      </c>
      <c r="T17" s="101" t="s">
        <v>7</v>
      </c>
      <c r="U17" s="100">
        <v>0</v>
      </c>
      <c r="V17" s="634">
        <f>IF(OR(U17="",U18=""),"",U17+U18)</f>
        <v>4</v>
      </c>
      <c r="W17" s="634"/>
      <c r="X17" s="746" t="str">
        <f>VLOOKUP(AS17,U12組合せ!B$10:K$19,7,TRUE)</f>
        <v>FCアリーバ</v>
      </c>
      <c r="Y17" s="747"/>
      <c r="Z17" s="747"/>
      <c r="AA17" s="747"/>
      <c r="AB17" s="747"/>
      <c r="AC17" s="747"/>
      <c r="AD17" s="747"/>
      <c r="AE17" s="583"/>
      <c r="AF17" s="583"/>
      <c r="AG17" s="583"/>
      <c r="AH17" s="583"/>
      <c r="AI17" s="634" t="str">
        <f ca="1">DBCS(INDIRECT("U12対戦スケジュール!R"&amp;(ROW()-1)/2+2))</f>
        <v>２／３／１／２</v>
      </c>
      <c r="AJ17" s="583"/>
      <c r="AK17" s="583"/>
      <c r="AL17" s="583"/>
      <c r="AM17" s="583"/>
      <c r="AN17" s="583"/>
      <c r="AO17" s="583"/>
      <c r="AP17" s="583"/>
      <c r="AR17" s="119">
        <v>3</v>
      </c>
      <c r="AS17" s="119">
        <v>1</v>
      </c>
    </row>
    <row r="18" spans="1:45" ht="20.100000000000001" customHeight="1" x14ac:dyDescent="0.4">
      <c r="B18" s="644"/>
      <c r="C18" s="648"/>
      <c r="D18" s="649"/>
      <c r="E18" s="650"/>
      <c r="F18" s="583"/>
      <c r="G18" s="583"/>
      <c r="H18" s="583"/>
      <c r="I18" s="583"/>
      <c r="J18" s="747"/>
      <c r="K18" s="747"/>
      <c r="L18" s="747"/>
      <c r="M18" s="747"/>
      <c r="N18" s="747"/>
      <c r="O18" s="747"/>
      <c r="P18" s="747"/>
      <c r="Q18" s="634"/>
      <c r="R18" s="634"/>
      <c r="S18" s="100">
        <v>0</v>
      </c>
      <c r="T18" s="101" t="s">
        <v>7</v>
      </c>
      <c r="U18" s="100">
        <v>4</v>
      </c>
      <c r="V18" s="634"/>
      <c r="W18" s="634"/>
      <c r="X18" s="747"/>
      <c r="Y18" s="747"/>
      <c r="Z18" s="747"/>
      <c r="AA18" s="747"/>
      <c r="AB18" s="747"/>
      <c r="AC18" s="747"/>
      <c r="AD18" s="747"/>
      <c r="AE18" s="583"/>
      <c r="AF18" s="583"/>
      <c r="AG18" s="583"/>
      <c r="AH18" s="583"/>
      <c r="AI18" s="583"/>
      <c r="AJ18" s="583"/>
      <c r="AK18" s="583"/>
      <c r="AL18" s="583"/>
      <c r="AM18" s="583"/>
      <c r="AN18" s="583"/>
      <c r="AO18" s="583"/>
      <c r="AP18" s="583"/>
      <c r="AR18" s="119"/>
      <c r="AS18" s="119"/>
    </row>
    <row r="19" spans="1:45" ht="20.100000000000001" customHeight="1" x14ac:dyDescent="0.4">
      <c r="B19" s="644"/>
      <c r="C19" s="645"/>
      <c r="D19" s="646"/>
      <c r="E19" s="647"/>
      <c r="F19" s="583"/>
      <c r="G19" s="583"/>
      <c r="H19" s="583"/>
      <c r="I19" s="583"/>
      <c r="J19" s="720"/>
      <c r="K19" s="703"/>
      <c r="L19" s="703"/>
      <c r="M19" s="703"/>
      <c r="N19" s="703"/>
      <c r="O19" s="703"/>
      <c r="P19" s="703"/>
      <c r="Q19" s="634"/>
      <c r="R19" s="634"/>
      <c r="S19" s="100"/>
      <c r="T19" s="101"/>
      <c r="U19" s="100"/>
      <c r="V19" s="634"/>
      <c r="W19" s="634"/>
      <c r="X19" s="720"/>
      <c r="Y19" s="703"/>
      <c r="Z19" s="703"/>
      <c r="AA19" s="703"/>
      <c r="AB19" s="703"/>
      <c r="AC19" s="703"/>
      <c r="AD19" s="703"/>
      <c r="AE19" s="583"/>
      <c r="AF19" s="583"/>
      <c r="AG19" s="583"/>
      <c r="AH19" s="583"/>
      <c r="AI19" s="634"/>
      <c r="AJ19" s="583"/>
      <c r="AK19" s="583"/>
      <c r="AL19" s="583"/>
      <c r="AM19" s="583"/>
      <c r="AN19" s="583"/>
      <c r="AO19" s="583"/>
      <c r="AP19" s="583"/>
      <c r="AR19" s="119"/>
      <c r="AS19" s="119"/>
    </row>
    <row r="20" spans="1:45" ht="20.100000000000001" customHeight="1" x14ac:dyDescent="0.4">
      <c r="B20" s="644"/>
      <c r="C20" s="648"/>
      <c r="D20" s="649"/>
      <c r="E20" s="650"/>
      <c r="F20" s="583"/>
      <c r="G20" s="583"/>
      <c r="H20" s="583"/>
      <c r="I20" s="583"/>
      <c r="J20" s="703"/>
      <c r="K20" s="703"/>
      <c r="L20" s="703"/>
      <c r="M20" s="703"/>
      <c r="N20" s="703"/>
      <c r="O20" s="703"/>
      <c r="P20" s="703"/>
      <c r="Q20" s="634"/>
      <c r="R20" s="634"/>
      <c r="S20" s="100"/>
      <c r="T20" s="101"/>
      <c r="U20" s="100"/>
      <c r="V20" s="634"/>
      <c r="W20" s="634"/>
      <c r="X20" s="703"/>
      <c r="Y20" s="703"/>
      <c r="Z20" s="703"/>
      <c r="AA20" s="703"/>
      <c r="AB20" s="703"/>
      <c r="AC20" s="703"/>
      <c r="AD20" s="703"/>
      <c r="AE20" s="583"/>
      <c r="AF20" s="583"/>
      <c r="AG20" s="583"/>
      <c r="AH20" s="583"/>
      <c r="AI20" s="583"/>
      <c r="AJ20" s="583"/>
      <c r="AK20" s="583"/>
      <c r="AL20" s="583"/>
      <c r="AM20" s="583"/>
      <c r="AN20" s="583"/>
      <c r="AO20" s="583"/>
      <c r="AP20" s="583"/>
      <c r="AR20" s="119"/>
      <c r="AS20" s="119"/>
    </row>
    <row r="21" spans="1:45" ht="20.100000000000001" customHeight="1" x14ac:dyDescent="0.4">
      <c r="B21" s="644" t="str">
        <f ca="1">DBCS(INDIRECT("U12対戦スケジュール!A"&amp;(ROW()-1)/2+2))</f>
        <v/>
      </c>
      <c r="C21" s="723"/>
      <c r="D21" s="723"/>
      <c r="E21" s="723"/>
      <c r="F21" s="583"/>
      <c r="G21" s="583"/>
      <c r="H21" s="583"/>
      <c r="I21" s="583"/>
      <c r="J21" s="721"/>
      <c r="K21" s="722"/>
      <c r="L21" s="722"/>
      <c r="M21" s="722"/>
      <c r="N21" s="722"/>
      <c r="O21" s="722"/>
      <c r="P21" s="722"/>
      <c r="Q21" s="634"/>
      <c r="R21" s="634"/>
      <c r="S21" s="100"/>
      <c r="T21" s="101"/>
      <c r="U21" s="100"/>
      <c r="V21" s="634"/>
      <c r="W21" s="634"/>
      <c r="X21" s="721"/>
      <c r="Y21" s="722"/>
      <c r="Z21" s="722"/>
      <c r="AA21" s="722"/>
      <c r="AB21" s="722"/>
      <c r="AC21" s="722"/>
      <c r="AD21" s="722"/>
      <c r="AE21" s="583"/>
      <c r="AF21" s="583"/>
      <c r="AG21" s="583"/>
      <c r="AH21" s="583"/>
      <c r="AI21" s="634"/>
      <c r="AJ21" s="583"/>
      <c r="AK21" s="583"/>
      <c r="AL21" s="583"/>
      <c r="AM21" s="583"/>
      <c r="AN21" s="583"/>
      <c r="AO21" s="583"/>
      <c r="AP21" s="583"/>
      <c r="AR21" s="119"/>
      <c r="AS21" s="119"/>
    </row>
    <row r="22" spans="1:45" ht="20.100000000000001" customHeight="1" x14ac:dyDescent="0.4">
      <c r="B22" s="644"/>
      <c r="C22" s="723"/>
      <c r="D22" s="723"/>
      <c r="E22" s="723"/>
      <c r="F22" s="583"/>
      <c r="G22" s="583"/>
      <c r="H22" s="583"/>
      <c r="I22" s="583"/>
      <c r="J22" s="722"/>
      <c r="K22" s="722"/>
      <c r="L22" s="722"/>
      <c r="M22" s="722"/>
      <c r="N22" s="722"/>
      <c r="O22" s="722"/>
      <c r="P22" s="722"/>
      <c r="Q22" s="634"/>
      <c r="R22" s="634"/>
      <c r="S22" s="100"/>
      <c r="T22" s="101"/>
      <c r="U22" s="100"/>
      <c r="V22" s="634"/>
      <c r="W22" s="634"/>
      <c r="X22" s="722"/>
      <c r="Y22" s="722"/>
      <c r="Z22" s="722"/>
      <c r="AA22" s="722"/>
      <c r="AB22" s="722"/>
      <c r="AC22" s="722"/>
      <c r="AD22" s="722"/>
      <c r="AE22" s="583"/>
      <c r="AF22" s="583"/>
      <c r="AG22" s="583"/>
      <c r="AH22" s="583"/>
      <c r="AI22" s="583"/>
      <c r="AJ22" s="583"/>
      <c r="AK22" s="583"/>
      <c r="AL22" s="583"/>
      <c r="AM22" s="583"/>
      <c r="AN22" s="583"/>
      <c r="AO22" s="583"/>
      <c r="AP22" s="583"/>
      <c r="AR22" s="119"/>
      <c r="AS22" s="119"/>
    </row>
    <row r="23" spans="1:45" ht="20.100000000000001" customHeight="1" x14ac:dyDescent="0.4">
      <c r="B23" s="644"/>
      <c r="C23" s="723"/>
      <c r="D23" s="723"/>
      <c r="E23" s="723"/>
      <c r="F23" s="583"/>
      <c r="G23" s="583"/>
      <c r="H23" s="583"/>
      <c r="I23" s="583"/>
      <c r="J23" s="721"/>
      <c r="K23" s="722"/>
      <c r="L23" s="722"/>
      <c r="M23" s="722"/>
      <c r="N23" s="722"/>
      <c r="O23" s="722"/>
      <c r="P23" s="722"/>
      <c r="Q23" s="634"/>
      <c r="R23" s="634"/>
      <c r="S23" s="100"/>
      <c r="T23" s="101"/>
      <c r="U23" s="100"/>
      <c r="V23" s="634"/>
      <c r="W23" s="634"/>
      <c r="X23" s="721"/>
      <c r="Y23" s="722"/>
      <c r="Z23" s="722"/>
      <c r="AA23" s="722"/>
      <c r="AB23" s="722"/>
      <c r="AC23" s="722"/>
      <c r="AD23" s="722"/>
      <c r="AE23" s="583"/>
      <c r="AF23" s="583"/>
      <c r="AG23" s="583"/>
      <c r="AH23" s="583"/>
      <c r="AI23" s="634"/>
      <c r="AJ23" s="583"/>
      <c r="AK23" s="583"/>
      <c r="AL23" s="583"/>
      <c r="AM23" s="583"/>
      <c r="AN23" s="583"/>
      <c r="AO23" s="583"/>
      <c r="AP23" s="583"/>
      <c r="AR23" s="119"/>
      <c r="AS23" s="119"/>
    </row>
    <row r="24" spans="1:45" ht="20.100000000000001" customHeight="1" x14ac:dyDescent="0.4">
      <c r="B24" s="644"/>
      <c r="C24" s="723"/>
      <c r="D24" s="723"/>
      <c r="E24" s="723"/>
      <c r="F24" s="583"/>
      <c r="G24" s="583"/>
      <c r="H24" s="583"/>
      <c r="I24" s="583"/>
      <c r="J24" s="722"/>
      <c r="K24" s="722"/>
      <c r="L24" s="722"/>
      <c r="M24" s="722"/>
      <c r="N24" s="722"/>
      <c r="O24" s="722"/>
      <c r="P24" s="722"/>
      <c r="Q24" s="634"/>
      <c r="R24" s="634"/>
      <c r="S24" s="100"/>
      <c r="T24" s="101"/>
      <c r="U24" s="100"/>
      <c r="V24" s="634"/>
      <c r="W24" s="634"/>
      <c r="X24" s="722"/>
      <c r="Y24" s="722"/>
      <c r="Z24" s="722"/>
      <c r="AA24" s="722"/>
      <c r="AB24" s="722"/>
      <c r="AC24" s="722"/>
      <c r="AD24" s="722"/>
      <c r="AE24" s="583"/>
      <c r="AF24" s="583"/>
      <c r="AG24" s="583"/>
      <c r="AH24" s="583"/>
      <c r="AI24" s="583"/>
      <c r="AJ24" s="583"/>
      <c r="AK24" s="583"/>
      <c r="AL24" s="583"/>
      <c r="AM24" s="583"/>
      <c r="AN24" s="583"/>
      <c r="AO24" s="583"/>
      <c r="AP24" s="583"/>
      <c r="AR24" s="119"/>
      <c r="AS24" s="119"/>
    </row>
    <row r="25" spans="1:45" ht="20.100000000000001" customHeight="1" x14ac:dyDescent="0.4">
      <c r="B25" s="644"/>
      <c r="C25" s="723"/>
      <c r="D25" s="723"/>
      <c r="E25" s="723"/>
      <c r="F25" s="583"/>
      <c r="G25" s="583"/>
      <c r="H25" s="583"/>
      <c r="I25" s="583"/>
      <c r="J25" s="721"/>
      <c r="K25" s="722"/>
      <c r="L25" s="722"/>
      <c r="M25" s="722"/>
      <c r="N25" s="722"/>
      <c r="O25" s="722"/>
      <c r="P25" s="722"/>
      <c r="Q25" s="634"/>
      <c r="R25" s="634"/>
      <c r="S25" s="100"/>
      <c r="T25" s="101"/>
      <c r="U25" s="100"/>
      <c r="V25" s="634"/>
      <c r="W25" s="634"/>
      <c r="X25" s="721"/>
      <c r="Y25" s="722"/>
      <c r="Z25" s="722"/>
      <c r="AA25" s="722"/>
      <c r="AB25" s="722"/>
      <c r="AC25" s="722"/>
      <c r="AD25" s="722"/>
      <c r="AE25" s="583"/>
      <c r="AF25" s="583"/>
      <c r="AG25" s="583"/>
      <c r="AH25" s="583"/>
      <c r="AI25" s="634"/>
      <c r="AJ25" s="583"/>
      <c r="AK25" s="583"/>
      <c r="AL25" s="583"/>
      <c r="AM25" s="583"/>
      <c r="AN25" s="583"/>
      <c r="AO25" s="583"/>
      <c r="AP25" s="583"/>
      <c r="AR25" s="119"/>
      <c r="AS25" s="119"/>
    </row>
    <row r="26" spans="1:45" ht="20.100000000000001" customHeight="1" x14ac:dyDescent="0.4">
      <c r="B26" s="644"/>
      <c r="C26" s="723"/>
      <c r="D26" s="723"/>
      <c r="E26" s="723"/>
      <c r="F26" s="583"/>
      <c r="G26" s="583"/>
      <c r="H26" s="583"/>
      <c r="I26" s="583"/>
      <c r="J26" s="722"/>
      <c r="K26" s="722"/>
      <c r="L26" s="722"/>
      <c r="M26" s="722"/>
      <c r="N26" s="722"/>
      <c r="O26" s="722"/>
      <c r="P26" s="722"/>
      <c r="Q26" s="634"/>
      <c r="R26" s="634"/>
      <c r="S26" s="100"/>
      <c r="T26" s="101"/>
      <c r="U26" s="100"/>
      <c r="V26" s="634"/>
      <c r="W26" s="634"/>
      <c r="X26" s="722"/>
      <c r="Y26" s="722"/>
      <c r="Z26" s="722"/>
      <c r="AA26" s="722"/>
      <c r="AB26" s="722"/>
      <c r="AC26" s="722"/>
      <c r="AD26" s="722"/>
      <c r="AE26" s="583"/>
      <c r="AF26" s="583"/>
      <c r="AG26" s="583"/>
      <c r="AH26" s="583"/>
      <c r="AI26" s="583"/>
      <c r="AJ26" s="583"/>
      <c r="AK26" s="583"/>
      <c r="AL26" s="583"/>
      <c r="AM26" s="583"/>
      <c r="AN26" s="583"/>
      <c r="AO26" s="583"/>
      <c r="AP26" s="583"/>
    </row>
    <row r="27" spans="1:45" ht="15.75" customHeight="1" thickBot="1" x14ac:dyDescent="0.45">
      <c r="A27" s="102"/>
      <c r="B27" s="103"/>
      <c r="C27" s="104"/>
      <c r="D27" s="104"/>
      <c r="E27" s="104"/>
      <c r="F27" s="103"/>
      <c r="G27" s="103"/>
      <c r="H27" s="103"/>
      <c r="I27" s="103"/>
      <c r="J27" s="103"/>
      <c r="K27" s="105"/>
      <c r="L27" s="105"/>
      <c r="M27" s="106"/>
      <c r="N27" s="107"/>
      <c r="O27" s="106"/>
      <c r="P27" s="105"/>
      <c r="Q27" s="105"/>
      <c r="R27" s="103"/>
      <c r="S27" s="103"/>
      <c r="T27" s="103"/>
      <c r="U27" s="103"/>
      <c r="V27" s="103"/>
      <c r="W27" s="108"/>
      <c r="X27" s="108"/>
      <c r="Y27" s="108"/>
      <c r="Z27" s="108"/>
      <c r="AA27" s="108"/>
      <c r="AB27" s="108"/>
      <c r="AC27" s="102"/>
    </row>
    <row r="28" spans="1:45" ht="20.25" customHeight="1" thickBot="1" x14ac:dyDescent="0.45">
      <c r="D28" s="664" t="s">
        <v>8</v>
      </c>
      <c r="E28" s="665"/>
      <c r="F28" s="665"/>
      <c r="G28" s="665"/>
      <c r="H28" s="665"/>
      <c r="I28" s="666"/>
      <c r="J28" s="667" t="s">
        <v>5</v>
      </c>
      <c r="K28" s="665"/>
      <c r="L28" s="665"/>
      <c r="M28" s="665"/>
      <c r="N28" s="665"/>
      <c r="O28" s="665"/>
      <c r="P28" s="665"/>
      <c r="Q28" s="666"/>
      <c r="R28" s="668" t="s">
        <v>9</v>
      </c>
      <c r="S28" s="669"/>
      <c r="T28" s="669"/>
      <c r="U28" s="669"/>
      <c r="V28" s="669"/>
      <c r="W28" s="669"/>
      <c r="X28" s="669"/>
      <c r="Y28" s="669"/>
      <c r="Z28" s="670"/>
      <c r="AA28" s="609" t="s">
        <v>10</v>
      </c>
      <c r="AB28" s="610"/>
      <c r="AC28" s="671"/>
      <c r="AD28" s="609" t="s">
        <v>11</v>
      </c>
      <c r="AE28" s="610"/>
      <c r="AF28" s="610"/>
      <c r="AG28" s="610"/>
      <c r="AH28" s="610"/>
      <c r="AI28" s="610"/>
      <c r="AJ28" s="610"/>
      <c r="AK28" s="610"/>
      <c r="AL28" s="610"/>
      <c r="AM28" s="611"/>
    </row>
    <row r="29" spans="1:45" ht="30" customHeight="1" x14ac:dyDescent="0.4">
      <c r="D29" s="651" t="s">
        <v>298</v>
      </c>
      <c r="E29" s="652"/>
      <c r="F29" s="652"/>
      <c r="G29" s="652"/>
      <c r="H29" s="652"/>
      <c r="I29" s="653"/>
      <c r="J29" s="654"/>
      <c r="K29" s="652"/>
      <c r="L29" s="652"/>
      <c r="M29" s="652"/>
      <c r="N29" s="652"/>
      <c r="O29" s="652"/>
      <c r="P29" s="652"/>
      <c r="Q29" s="653"/>
      <c r="R29" s="655"/>
      <c r="S29" s="656"/>
      <c r="T29" s="656"/>
      <c r="U29" s="656"/>
      <c r="V29" s="656"/>
      <c r="W29" s="656"/>
      <c r="X29" s="656"/>
      <c r="Y29" s="656"/>
      <c r="Z29" s="657"/>
      <c r="AA29" s="658"/>
      <c r="AB29" s="659"/>
      <c r="AC29" s="660"/>
      <c r="AD29" s="661"/>
      <c r="AE29" s="662"/>
      <c r="AF29" s="662"/>
      <c r="AG29" s="662"/>
      <c r="AH29" s="662"/>
      <c r="AI29" s="662"/>
      <c r="AJ29" s="662"/>
      <c r="AK29" s="662"/>
      <c r="AL29" s="662"/>
      <c r="AM29" s="663"/>
    </row>
    <row r="30" spans="1:45" ht="30" customHeight="1" x14ac:dyDescent="0.4">
      <c r="D30" s="688" t="s">
        <v>12</v>
      </c>
      <c r="E30" s="604"/>
      <c r="F30" s="604"/>
      <c r="G30" s="604"/>
      <c r="H30" s="604"/>
      <c r="I30" s="605"/>
      <c r="J30" s="603"/>
      <c r="K30" s="604"/>
      <c r="L30" s="604"/>
      <c r="M30" s="604"/>
      <c r="N30" s="604"/>
      <c r="O30" s="604"/>
      <c r="P30" s="604"/>
      <c r="Q30" s="605"/>
      <c r="R30" s="606"/>
      <c r="S30" s="607"/>
      <c r="T30" s="607"/>
      <c r="U30" s="607"/>
      <c r="V30" s="607"/>
      <c r="W30" s="607"/>
      <c r="X30" s="607"/>
      <c r="Y30" s="607"/>
      <c r="Z30" s="608"/>
      <c r="AA30" s="606"/>
      <c r="AB30" s="607"/>
      <c r="AC30" s="608"/>
      <c r="AD30" s="672"/>
      <c r="AE30" s="673"/>
      <c r="AF30" s="673"/>
      <c r="AG30" s="673"/>
      <c r="AH30" s="673"/>
      <c r="AI30" s="673"/>
      <c r="AJ30" s="673"/>
      <c r="AK30" s="673"/>
      <c r="AL30" s="673"/>
      <c r="AM30" s="674"/>
    </row>
    <row r="31" spans="1:45" ht="30" customHeight="1" thickBot="1" x14ac:dyDescent="0.45">
      <c r="D31" s="675" t="s">
        <v>12</v>
      </c>
      <c r="E31" s="676"/>
      <c r="F31" s="676"/>
      <c r="G31" s="676"/>
      <c r="H31" s="676"/>
      <c r="I31" s="677"/>
      <c r="J31" s="678"/>
      <c r="K31" s="676"/>
      <c r="L31" s="676"/>
      <c r="M31" s="676"/>
      <c r="N31" s="676"/>
      <c r="O31" s="676"/>
      <c r="P31" s="676"/>
      <c r="Q31" s="677"/>
      <c r="R31" s="679"/>
      <c r="S31" s="680"/>
      <c r="T31" s="680"/>
      <c r="U31" s="680"/>
      <c r="V31" s="680"/>
      <c r="W31" s="680"/>
      <c r="X31" s="680"/>
      <c r="Y31" s="680"/>
      <c r="Z31" s="681"/>
      <c r="AA31" s="682"/>
      <c r="AB31" s="683"/>
      <c r="AC31" s="684"/>
      <c r="AD31" s="685"/>
      <c r="AE31" s="686"/>
      <c r="AF31" s="686"/>
      <c r="AG31" s="686"/>
      <c r="AH31" s="686"/>
      <c r="AI31" s="686"/>
      <c r="AJ31" s="686"/>
      <c r="AK31" s="686"/>
      <c r="AL31" s="686"/>
      <c r="AM31" s="687"/>
    </row>
    <row r="32" spans="1:45" ht="14.25" customHeight="1" x14ac:dyDescent="0.4">
      <c r="A32" s="115"/>
      <c r="B32" s="599" t="str">
        <f>U12組合せ!$B$1</f>
        <v>ＪＦＡ　Ｕ-１２サッカーリーグ2021（in栃木） 宇都宮地区リーグ戦（前期）</v>
      </c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612" t="str">
        <f>"【"&amp;(U12組合せ!$H$3)&amp;"】"</f>
        <v>【Ｃ ブロック】</v>
      </c>
      <c r="AD32" s="612"/>
      <c r="AE32" s="612"/>
      <c r="AF32" s="612"/>
      <c r="AG32" s="612"/>
      <c r="AH32" s="612"/>
      <c r="AI32" s="612"/>
      <c r="AJ32" s="612"/>
      <c r="AK32" s="602" t="str">
        <f>"第"&amp;(U12組合せ!$D$21)</f>
        <v>第１節</v>
      </c>
      <c r="AL32" s="602"/>
      <c r="AM32" s="602"/>
      <c r="AN32" s="602"/>
      <c r="AO32" s="602"/>
      <c r="AP32" s="597" t="s">
        <v>332</v>
      </c>
      <c r="AQ32" s="598"/>
    </row>
    <row r="33" spans="1:54" ht="14.25" customHeight="1" x14ac:dyDescent="0.4">
      <c r="A33" s="115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601"/>
      <c r="AD33" s="601"/>
      <c r="AE33" s="601"/>
      <c r="AF33" s="601"/>
      <c r="AG33" s="601"/>
      <c r="AH33" s="601"/>
      <c r="AI33" s="601"/>
      <c r="AJ33" s="601"/>
      <c r="AK33" s="601"/>
      <c r="AL33" s="601"/>
      <c r="AM33" s="601"/>
      <c r="AN33" s="601"/>
      <c r="AO33" s="601"/>
      <c r="AP33" s="598"/>
      <c r="AQ33" s="598"/>
    </row>
    <row r="34" spans="1:54" ht="14.25" customHeight="1" x14ac:dyDescent="0.4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</row>
    <row r="35" spans="1:54" ht="33" customHeight="1" x14ac:dyDescent="0.4">
      <c r="C35" s="734" t="s">
        <v>1</v>
      </c>
      <c r="D35" s="735"/>
      <c r="E35" s="735"/>
      <c r="F35" s="736"/>
      <c r="G35" s="725" t="str">
        <f>U12対戦スケジュール!O14</f>
        <v>白沢北 AM</v>
      </c>
      <c r="H35" s="726"/>
      <c r="I35" s="726"/>
      <c r="J35" s="726"/>
      <c r="K35" s="726"/>
      <c r="L35" s="726"/>
      <c r="M35" s="726"/>
      <c r="N35" s="726"/>
      <c r="O35" s="727"/>
      <c r="P35" s="734" t="s">
        <v>0</v>
      </c>
      <c r="Q35" s="735"/>
      <c r="R35" s="735"/>
      <c r="S35" s="736"/>
      <c r="T35" s="725" t="str">
        <f>S38</f>
        <v>豊郷JFC宇都宮U-12</v>
      </c>
      <c r="U35" s="726"/>
      <c r="V35" s="726"/>
      <c r="W35" s="726"/>
      <c r="X35" s="726"/>
      <c r="Y35" s="726"/>
      <c r="Z35" s="726"/>
      <c r="AA35" s="726"/>
      <c r="AB35" s="727"/>
      <c r="AC35" s="734" t="s">
        <v>2</v>
      </c>
      <c r="AD35" s="735"/>
      <c r="AE35" s="735"/>
      <c r="AF35" s="736"/>
      <c r="AG35" s="618">
        <f>U12対戦スケジュール!F3</f>
        <v>44296</v>
      </c>
      <c r="AH35" s="619"/>
      <c r="AI35" s="619"/>
      <c r="AJ35" s="619"/>
      <c r="AK35" s="619"/>
      <c r="AL35" s="619"/>
      <c r="AM35" s="620" t="str">
        <f>"（"&amp;TEXT(AG35,"aaa")&amp;"）"</f>
        <v>（土）</v>
      </c>
      <c r="AN35" s="620"/>
      <c r="AO35" s="621"/>
    </row>
    <row r="36" spans="1:54" ht="15" customHeight="1" x14ac:dyDescent="0.4">
      <c r="C36" s="96" t="str">
        <f>U12組合せ!I24</f>
        <v>C5789</v>
      </c>
      <c r="D36" s="102"/>
      <c r="E36" s="102"/>
      <c r="F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95"/>
      <c r="X36" s="95"/>
      <c r="Y36" s="95"/>
      <c r="Z36" s="95"/>
      <c r="AA36" s="95"/>
      <c r="AB36" s="95"/>
      <c r="AC36" s="95"/>
    </row>
    <row r="37" spans="1:54" ht="29.25" customHeight="1" x14ac:dyDescent="0.4">
      <c r="C37" s="748">
        <v>1</v>
      </c>
      <c r="D37" s="749"/>
      <c r="E37" s="750" t="str">
        <f>VLOOKUP(C37,U12組合せ!B$10:K$19,7,TRUE)</f>
        <v>FCアリーバ</v>
      </c>
      <c r="F37" s="751"/>
      <c r="G37" s="751"/>
      <c r="H37" s="751"/>
      <c r="I37" s="751"/>
      <c r="J37" s="751"/>
      <c r="K37" s="751"/>
      <c r="L37" s="751"/>
      <c r="M37" s="751"/>
      <c r="N37" s="752"/>
      <c r="O37" s="94"/>
      <c r="P37" s="94"/>
      <c r="Q37" s="748">
        <v>4</v>
      </c>
      <c r="R37" s="749"/>
      <c r="S37" s="750" t="str">
        <f>VLOOKUP(Q37,U12組合せ!B$10:K$19,7,TRUE)</f>
        <v>ともぞうSC　U11</v>
      </c>
      <c r="T37" s="751"/>
      <c r="U37" s="751"/>
      <c r="V37" s="751"/>
      <c r="W37" s="751"/>
      <c r="X37" s="751"/>
      <c r="Y37" s="751"/>
      <c r="Z37" s="751"/>
      <c r="AA37" s="751"/>
      <c r="AB37" s="752"/>
      <c r="AC37" s="92"/>
      <c r="AD37" s="93"/>
      <c r="AE37" s="788">
        <v>7</v>
      </c>
      <c r="AF37" s="789"/>
      <c r="AG37" s="790" t="str">
        <f>VLOOKUP(AE37,U12組合せ!B$10:'U12組合せ'!K$19,7,TRUE)</f>
        <v>雀宮FC</v>
      </c>
      <c r="AH37" s="791"/>
      <c r="AI37" s="791"/>
      <c r="AJ37" s="791"/>
      <c r="AK37" s="791"/>
      <c r="AL37" s="791"/>
      <c r="AM37" s="791"/>
      <c r="AN37" s="791"/>
      <c r="AO37" s="791"/>
      <c r="AP37" s="792"/>
    </row>
    <row r="38" spans="1:54" ht="29.25" customHeight="1" x14ac:dyDescent="0.4">
      <c r="C38" s="748">
        <v>2</v>
      </c>
      <c r="D38" s="749"/>
      <c r="E38" s="750" t="str">
        <f>VLOOKUP(C38,U12組合せ!B$10:K$19,7,TRUE)</f>
        <v>カテット白沢SS</v>
      </c>
      <c r="F38" s="751"/>
      <c r="G38" s="751"/>
      <c r="H38" s="751"/>
      <c r="I38" s="751"/>
      <c r="J38" s="751"/>
      <c r="K38" s="751"/>
      <c r="L38" s="751"/>
      <c r="M38" s="751"/>
      <c r="N38" s="752"/>
      <c r="O38" s="94"/>
      <c r="P38" s="94"/>
      <c r="Q38" s="788">
        <v>5</v>
      </c>
      <c r="R38" s="789"/>
      <c r="S38" s="790" t="str">
        <f>VLOOKUP(Q38,U12組合せ!B$10:K$19,7,TRUE)</f>
        <v>豊郷JFC宇都宮U-12</v>
      </c>
      <c r="T38" s="791"/>
      <c r="U38" s="791"/>
      <c r="V38" s="791"/>
      <c r="W38" s="791"/>
      <c r="X38" s="791"/>
      <c r="Y38" s="791"/>
      <c r="Z38" s="791"/>
      <c r="AA38" s="791"/>
      <c r="AB38" s="792"/>
      <c r="AC38" s="92"/>
      <c r="AD38" s="93"/>
      <c r="AE38" s="788">
        <v>8</v>
      </c>
      <c r="AF38" s="789"/>
      <c r="AG38" s="790" t="str">
        <f>VLOOKUP(AE38,U12組合せ!B$10:'U12組合せ'!K$19,7,TRUE)</f>
        <v>FCみらいP</v>
      </c>
      <c r="AH38" s="791"/>
      <c r="AI38" s="791"/>
      <c r="AJ38" s="791"/>
      <c r="AK38" s="791"/>
      <c r="AL38" s="791"/>
      <c r="AM38" s="791"/>
      <c r="AN38" s="791"/>
      <c r="AO38" s="791"/>
      <c r="AP38" s="792"/>
    </row>
    <row r="39" spans="1:54" ht="29.25" customHeight="1" x14ac:dyDescent="0.4">
      <c r="C39" s="748">
        <v>3</v>
      </c>
      <c r="D39" s="749"/>
      <c r="E39" s="750" t="str">
        <f>VLOOKUP(C39,U12組合せ!B$10:K$19,7,TRUE)</f>
        <v>リフレSCチェルビアット</v>
      </c>
      <c r="F39" s="751"/>
      <c r="G39" s="751"/>
      <c r="H39" s="751"/>
      <c r="I39" s="751"/>
      <c r="J39" s="751"/>
      <c r="K39" s="751"/>
      <c r="L39" s="751"/>
      <c r="M39" s="751"/>
      <c r="N39" s="752"/>
      <c r="O39" s="94"/>
      <c r="P39" s="94"/>
      <c r="Q39" s="748">
        <v>6</v>
      </c>
      <c r="R39" s="749"/>
      <c r="S39" s="750" t="str">
        <f>VLOOKUP(Q39,U12組合せ!B$10:K$19,7,TRUE)</f>
        <v>シャルムグランツSC</v>
      </c>
      <c r="T39" s="751"/>
      <c r="U39" s="751"/>
      <c r="V39" s="751"/>
      <c r="W39" s="751"/>
      <c r="X39" s="751"/>
      <c r="Y39" s="751"/>
      <c r="Z39" s="751"/>
      <c r="AA39" s="751"/>
      <c r="AB39" s="752"/>
      <c r="AC39" s="92"/>
      <c r="AD39" s="93"/>
      <c r="AE39" s="788">
        <v>9</v>
      </c>
      <c r="AF39" s="789"/>
      <c r="AG39" s="790" t="str">
        <f>VLOOKUP(AE39,U12組合せ!B$10:'U12組合せ'!K$19,7,TRUE)</f>
        <v>みはらSC jr</v>
      </c>
      <c r="AH39" s="791"/>
      <c r="AI39" s="791"/>
      <c r="AJ39" s="791"/>
      <c r="AK39" s="791"/>
      <c r="AL39" s="791"/>
      <c r="AM39" s="791"/>
      <c r="AN39" s="791"/>
      <c r="AO39" s="791"/>
      <c r="AP39" s="792"/>
    </row>
    <row r="40" spans="1:54" ht="9" customHeight="1" x14ac:dyDescent="0.4">
      <c r="B40" s="102"/>
      <c r="O40" s="102"/>
      <c r="P40" s="102"/>
      <c r="AC40" s="95"/>
      <c r="AD40" s="102"/>
      <c r="AE40" s="102"/>
      <c r="AF40" s="102"/>
      <c r="AG40" s="102"/>
    </row>
    <row r="41" spans="1:54" ht="6.75" customHeight="1" x14ac:dyDescent="0.4">
      <c r="O41" s="102"/>
      <c r="P41" s="102"/>
      <c r="AC41" s="95"/>
    </row>
    <row r="42" spans="1:54" ht="6.75" customHeight="1" x14ac:dyDescent="0.4">
      <c r="C42" s="117"/>
      <c r="D42" s="118"/>
      <c r="E42" s="118"/>
      <c r="F42" s="118"/>
      <c r="G42" s="118"/>
      <c r="H42" s="118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18"/>
      <c r="U42" s="102"/>
      <c r="V42" s="118"/>
      <c r="W42" s="102"/>
      <c r="X42" s="118"/>
      <c r="Y42" s="102"/>
      <c r="Z42" s="118"/>
      <c r="AA42" s="102"/>
      <c r="AB42" s="118"/>
      <c r="AC42" s="118"/>
    </row>
    <row r="43" spans="1:54" ht="21" customHeight="1" x14ac:dyDescent="0.4">
      <c r="B43" s="118" t="str">
        <f ca="1">IF(B45="①","【監督会議 8：20～】","【監督会議 12：50～】")</f>
        <v>【監督会議 8：20～】</v>
      </c>
      <c r="I43" s="96" t="s">
        <v>330</v>
      </c>
    </row>
    <row r="44" spans="1:54" ht="20.25" customHeight="1" x14ac:dyDescent="0.4">
      <c r="B44" s="97"/>
      <c r="C44" s="779" t="s">
        <v>3</v>
      </c>
      <c r="D44" s="780"/>
      <c r="E44" s="781"/>
      <c r="F44" s="782" t="s">
        <v>4</v>
      </c>
      <c r="G44" s="783"/>
      <c r="H44" s="783"/>
      <c r="I44" s="784"/>
      <c r="J44" s="779" t="s">
        <v>5</v>
      </c>
      <c r="K44" s="780"/>
      <c r="L44" s="780"/>
      <c r="M44" s="780"/>
      <c r="N44" s="780"/>
      <c r="O44" s="780"/>
      <c r="P44" s="781"/>
      <c r="Q44" s="779" t="s">
        <v>32</v>
      </c>
      <c r="R44" s="780"/>
      <c r="S44" s="780"/>
      <c r="T44" s="780"/>
      <c r="U44" s="780"/>
      <c r="V44" s="780"/>
      <c r="W44" s="781"/>
      <c r="X44" s="779" t="s">
        <v>5</v>
      </c>
      <c r="Y44" s="780"/>
      <c r="Z44" s="780"/>
      <c r="AA44" s="780"/>
      <c r="AB44" s="780"/>
      <c r="AC44" s="780"/>
      <c r="AD44" s="781"/>
      <c r="AE44" s="782" t="s">
        <v>4</v>
      </c>
      <c r="AF44" s="783"/>
      <c r="AG44" s="783"/>
      <c r="AH44" s="784"/>
      <c r="AI44" s="779" t="s">
        <v>6</v>
      </c>
      <c r="AJ44" s="780"/>
      <c r="AK44" s="780"/>
      <c r="AL44" s="780"/>
      <c r="AM44" s="780"/>
      <c r="AN44" s="780"/>
      <c r="AO44" s="780"/>
      <c r="AP44" s="781"/>
      <c r="AU44" s="102"/>
      <c r="AV44" s="102"/>
      <c r="AW44" s="102"/>
      <c r="AX44" s="102"/>
      <c r="AY44" s="102"/>
      <c r="AZ44" s="102"/>
      <c r="BA44" s="102"/>
      <c r="BB44" s="102"/>
    </row>
    <row r="45" spans="1:54" ht="20.100000000000001" customHeight="1" x14ac:dyDescent="0.4">
      <c r="B45" s="644" t="str">
        <f ca="1">DBCS(INDIRECT("U12対戦スケジュール!ｍ"&amp;(ROW()-1)/2-6))</f>
        <v>①</v>
      </c>
      <c r="C45" s="645">
        <f ca="1">INDIRECT("U12対戦スケジュール!ｎ"&amp;(ROW()-1)/2-6)</f>
        <v>0.375</v>
      </c>
      <c r="D45" s="646"/>
      <c r="E45" s="647"/>
      <c r="F45" s="622"/>
      <c r="G45" s="623"/>
      <c r="H45" s="623"/>
      <c r="I45" s="624"/>
      <c r="J45" s="746" t="str">
        <f ca="1">VLOOKUP(AR45,U12組合せ!B$10:K$19,7,TRUE)</f>
        <v>豊郷JFC宇都宮U-12</v>
      </c>
      <c r="K45" s="747"/>
      <c r="L45" s="747"/>
      <c r="M45" s="747"/>
      <c r="N45" s="747"/>
      <c r="O45" s="747"/>
      <c r="P45" s="747"/>
      <c r="Q45" s="628">
        <f>IF(OR(S45="",S46=""),"",S45+S46)</f>
        <v>2</v>
      </c>
      <c r="R45" s="630"/>
      <c r="S45" s="100">
        <v>0</v>
      </c>
      <c r="T45" s="101" t="s">
        <v>7</v>
      </c>
      <c r="U45" s="100">
        <v>2</v>
      </c>
      <c r="V45" s="628">
        <f>IF(OR(U45="",U46=""),"",U45+U46)</f>
        <v>2</v>
      </c>
      <c r="W45" s="630"/>
      <c r="X45" s="746" t="str">
        <f>VLOOKUP(AS45,U12組合せ!B$10:K$19,7,TRUE)</f>
        <v>FCみらいP</v>
      </c>
      <c r="Y45" s="747"/>
      <c r="Z45" s="747"/>
      <c r="AA45" s="747"/>
      <c r="AB45" s="747"/>
      <c r="AC45" s="747"/>
      <c r="AD45" s="747"/>
      <c r="AE45" s="622"/>
      <c r="AF45" s="623"/>
      <c r="AG45" s="623"/>
      <c r="AH45" s="624"/>
      <c r="AI45" s="634" t="str">
        <f ca="1">DBCS(INDIRECT("U12対戦スケジュール!R"&amp;(ROW()-1)/2-6))</f>
        <v>６／７／７／６</v>
      </c>
      <c r="AJ45" s="583"/>
      <c r="AK45" s="583"/>
      <c r="AL45" s="583"/>
      <c r="AM45" s="583"/>
      <c r="AN45" s="583"/>
      <c r="AO45" s="583"/>
      <c r="AP45" s="583"/>
      <c r="AR45" s="119">
        <f ca="1">VLOOKUP(B45,U12対戦スケジュール!$A$16:AF$18,3,FALSE)</f>
        <v>5</v>
      </c>
      <c r="AS45" s="119">
        <v>8</v>
      </c>
      <c r="AU45" s="102"/>
      <c r="AV45" s="102"/>
      <c r="AW45" s="102"/>
      <c r="AX45" s="102"/>
      <c r="AY45" s="102"/>
      <c r="AZ45" s="102"/>
      <c r="BA45" s="102"/>
      <c r="BB45" s="102"/>
    </row>
    <row r="46" spans="1:54" ht="20.100000000000001" customHeight="1" x14ac:dyDescent="0.4">
      <c r="B46" s="644"/>
      <c r="C46" s="648"/>
      <c r="D46" s="649"/>
      <c r="E46" s="650"/>
      <c r="F46" s="625"/>
      <c r="G46" s="626"/>
      <c r="H46" s="626"/>
      <c r="I46" s="627"/>
      <c r="J46" s="747"/>
      <c r="K46" s="747"/>
      <c r="L46" s="747"/>
      <c r="M46" s="747"/>
      <c r="N46" s="747"/>
      <c r="O46" s="747"/>
      <c r="P46" s="747"/>
      <c r="Q46" s="631"/>
      <c r="R46" s="633"/>
      <c r="S46" s="100">
        <v>2</v>
      </c>
      <c r="T46" s="101" t="s">
        <v>7</v>
      </c>
      <c r="U46" s="100">
        <v>0</v>
      </c>
      <c r="V46" s="631"/>
      <c r="W46" s="633"/>
      <c r="X46" s="747"/>
      <c r="Y46" s="747"/>
      <c r="Z46" s="747"/>
      <c r="AA46" s="747"/>
      <c r="AB46" s="747"/>
      <c r="AC46" s="747"/>
      <c r="AD46" s="747"/>
      <c r="AE46" s="625"/>
      <c r="AF46" s="626"/>
      <c r="AG46" s="626"/>
      <c r="AH46" s="627"/>
      <c r="AI46" s="583"/>
      <c r="AJ46" s="583"/>
      <c r="AK46" s="583"/>
      <c r="AL46" s="583"/>
      <c r="AM46" s="583"/>
      <c r="AN46" s="583"/>
      <c r="AO46" s="583"/>
      <c r="AP46" s="583"/>
      <c r="AR46" s="119"/>
      <c r="AS46" s="119"/>
      <c r="AU46" s="102"/>
      <c r="AV46" s="102"/>
      <c r="AW46" s="102"/>
      <c r="AX46" s="102"/>
      <c r="AY46" s="102"/>
      <c r="AZ46" s="102"/>
      <c r="BA46" s="102"/>
      <c r="BB46" s="102"/>
    </row>
    <row r="47" spans="1:54" ht="20.100000000000001" customHeight="1" x14ac:dyDescent="0.4">
      <c r="B47" s="644" t="str">
        <f ca="1">DBCS(INDIRECT("U12対戦スケジュール!ｍ"&amp;(ROW()-1)/2-6))</f>
        <v>②</v>
      </c>
      <c r="C47" s="645">
        <f ca="1">INDIRECT("U12対戦スケジュール!ｎ"&amp;(ROW()-1)/2-6)</f>
        <v>0.41699999999999998</v>
      </c>
      <c r="D47" s="646"/>
      <c r="E47" s="647"/>
      <c r="F47" s="622"/>
      <c r="G47" s="623"/>
      <c r="H47" s="623"/>
      <c r="I47" s="624"/>
      <c r="J47" s="746" t="str">
        <f>VLOOKUP(AR47,U12組合せ!B$10:K$19,7,TRUE)</f>
        <v>雀宮FC</v>
      </c>
      <c r="K47" s="747"/>
      <c r="L47" s="747"/>
      <c r="M47" s="747"/>
      <c r="N47" s="747"/>
      <c r="O47" s="747"/>
      <c r="P47" s="747"/>
      <c r="Q47" s="628">
        <f>IF(OR(S47="",S48=""),"",S47+S48)</f>
        <v>1</v>
      </c>
      <c r="R47" s="630"/>
      <c r="S47" s="100">
        <v>1</v>
      </c>
      <c r="T47" s="101" t="s">
        <v>7</v>
      </c>
      <c r="U47" s="100">
        <v>1</v>
      </c>
      <c r="V47" s="628">
        <f>IF(OR(U47="",U48=""),"",U47+U48)</f>
        <v>3</v>
      </c>
      <c r="W47" s="630"/>
      <c r="X47" s="746" t="str">
        <f>VLOOKUP(AS47,U12組合せ!B$10:K$19,7,TRUE)</f>
        <v>FCみらいP</v>
      </c>
      <c r="Y47" s="747"/>
      <c r="Z47" s="747"/>
      <c r="AA47" s="747"/>
      <c r="AB47" s="747"/>
      <c r="AC47" s="747"/>
      <c r="AD47" s="747"/>
      <c r="AE47" s="622"/>
      <c r="AF47" s="623"/>
      <c r="AG47" s="623"/>
      <c r="AH47" s="624"/>
      <c r="AI47" s="634" t="str">
        <f ca="1">DBCS(INDIRECT("U12対戦スケジュール!R"&amp;(ROW()-1)/2-6))</f>
        <v>９／６／６／９</v>
      </c>
      <c r="AJ47" s="583"/>
      <c r="AK47" s="583"/>
      <c r="AL47" s="583"/>
      <c r="AM47" s="583"/>
      <c r="AN47" s="583"/>
      <c r="AO47" s="583"/>
      <c r="AP47" s="583"/>
      <c r="AR47" s="119">
        <v>7</v>
      </c>
      <c r="AS47" s="119">
        <v>8</v>
      </c>
      <c r="AU47" s="102"/>
      <c r="AV47" s="102"/>
      <c r="AW47" s="102"/>
      <c r="AX47" s="102"/>
      <c r="AY47" s="102"/>
      <c r="AZ47" s="102"/>
      <c r="BA47" s="102"/>
      <c r="BB47" s="102"/>
    </row>
    <row r="48" spans="1:54" ht="20.100000000000001" customHeight="1" x14ac:dyDescent="0.4">
      <c r="B48" s="644"/>
      <c r="C48" s="648"/>
      <c r="D48" s="649"/>
      <c r="E48" s="650"/>
      <c r="F48" s="625"/>
      <c r="G48" s="626"/>
      <c r="H48" s="626"/>
      <c r="I48" s="627"/>
      <c r="J48" s="747"/>
      <c r="K48" s="747"/>
      <c r="L48" s="747"/>
      <c r="M48" s="747"/>
      <c r="N48" s="747"/>
      <c r="O48" s="747"/>
      <c r="P48" s="747"/>
      <c r="Q48" s="631"/>
      <c r="R48" s="633"/>
      <c r="S48" s="100">
        <v>0</v>
      </c>
      <c r="T48" s="101" t="s">
        <v>7</v>
      </c>
      <c r="U48" s="100">
        <v>2</v>
      </c>
      <c r="V48" s="631"/>
      <c r="W48" s="633"/>
      <c r="X48" s="747"/>
      <c r="Y48" s="747"/>
      <c r="Z48" s="747"/>
      <c r="AA48" s="747"/>
      <c r="AB48" s="747"/>
      <c r="AC48" s="747"/>
      <c r="AD48" s="747"/>
      <c r="AE48" s="625"/>
      <c r="AF48" s="626"/>
      <c r="AG48" s="626"/>
      <c r="AH48" s="627"/>
      <c r="AI48" s="583"/>
      <c r="AJ48" s="583"/>
      <c r="AK48" s="583"/>
      <c r="AL48" s="583"/>
      <c r="AM48" s="583"/>
      <c r="AN48" s="583"/>
      <c r="AO48" s="583"/>
      <c r="AP48" s="583"/>
      <c r="AR48" s="119"/>
      <c r="AS48" s="119"/>
    </row>
    <row r="49" spans="1:45" ht="20.100000000000001" customHeight="1" x14ac:dyDescent="0.4">
      <c r="B49" s="644" t="str">
        <f ca="1">DBCS(INDIRECT("U12対戦スケジュール!ｍ"&amp;(ROW()-1)/2-6))</f>
        <v>③</v>
      </c>
      <c r="C49" s="645">
        <f ca="1">INDIRECT("U12対戦スケジュール!ｎ"&amp;(ROW()-1)/2-6)</f>
        <v>0.45899999999999996</v>
      </c>
      <c r="D49" s="646"/>
      <c r="E49" s="647"/>
      <c r="F49" s="622"/>
      <c r="G49" s="623"/>
      <c r="H49" s="623"/>
      <c r="I49" s="624"/>
      <c r="J49" s="746" t="str">
        <f>VLOOKUP(AR49,U12組合せ!B$10:K$19,7,TRUE)</f>
        <v>雀宮FC</v>
      </c>
      <c r="K49" s="747"/>
      <c r="L49" s="747"/>
      <c r="M49" s="747"/>
      <c r="N49" s="747"/>
      <c r="O49" s="747"/>
      <c r="P49" s="747"/>
      <c r="Q49" s="628">
        <f>IF(OR(S49="",S50=""),"",S49+S50)</f>
        <v>0</v>
      </c>
      <c r="R49" s="630"/>
      <c r="S49" s="100">
        <v>0</v>
      </c>
      <c r="T49" s="101" t="s">
        <v>7</v>
      </c>
      <c r="U49" s="100">
        <v>0</v>
      </c>
      <c r="V49" s="628">
        <f>IF(OR(U49="",U50=""),"",U49+U50)</f>
        <v>0</v>
      </c>
      <c r="W49" s="630"/>
      <c r="X49" s="746" t="str">
        <f>VLOOKUP(AS49,U12組合せ!B$10:K$19,7,TRUE)</f>
        <v>みはらSC jr</v>
      </c>
      <c r="Y49" s="747"/>
      <c r="Z49" s="747"/>
      <c r="AA49" s="747"/>
      <c r="AB49" s="747"/>
      <c r="AC49" s="747"/>
      <c r="AD49" s="747"/>
      <c r="AE49" s="622"/>
      <c r="AF49" s="623"/>
      <c r="AG49" s="623"/>
      <c r="AH49" s="624"/>
      <c r="AI49" s="634" t="str">
        <f ca="1">DBCS(INDIRECT("U12対戦スケジュール!R"&amp;(ROW()-1)/2-6))</f>
        <v>５／９／９／５</v>
      </c>
      <c r="AJ49" s="583"/>
      <c r="AK49" s="583"/>
      <c r="AL49" s="583"/>
      <c r="AM49" s="583"/>
      <c r="AN49" s="583"/>
      <c r="AO49" s="583"/>
      <c r="AP49" s="583"/>
      <c r="AR49" s="119">
        <v>7</v>
      </c>
      <c r="AS49" s="119">
        <v>9</v>
      </c>
    </row>
    <row r="50" spans="1:45" ht="20.100000000000001" customHeight="1" x14ac:dyDescent="0.4">
      <c r="B50" s="644"/>
      <c r="C50" s="648"/>
      <c r="D50" s="649"/>
      <c r="E50" s="650"/>
      <c r="F50" s="625"/>
      <c r="G50" s="626"/>
      <c r="H50" s="626"/>
      <c r="I50" s="627"/>
      <c r="J50" s="747"/>
      <c r="K50" s="747"/>
      <c r="L50" s="747"/>
      <c r="M50" s="747"/>
      <c r="N50" s="747"/>
      <c r="O50" s="747"/>
      <c r="P50" s="747"/>
      <c r="Q50" s="631"/>
      <c r="R50" s="633"/>
      <c r="S50" s="100">
        <v>0</v>
      </c>
      <c r="T50" s="101" t="s">
        <v>7</v>
      </c>
      <c r="U50" s="100">
        <v>0</v>
      </c>
      <c r="V50" s="631"/>
      <c r="W50" s="633"/>
      <c r="X50" s="747"/>
      <c r="Y50" s="747"/>
      <c r="Z50" s="747"/>
      <c r="AA50" s="747"/>
      <c r="AB50" s="747"/>
      <c r="AC50" s="747"/>
      <c r="AD50" s="747"/>
      <c r="AE50" s="625"/>
      <c r="AF50" s="626"/>
      <c r="AG50" s="626"/>
      <c r="AH50" s="627"/>
      <c r="AI50" s="583"/>
      <c r="AJ50" s="583"/>
      <c r="AK50" s="583"/>
      <c r="AL50" s="583"/>
      <c r="AM50" s="583"/>
      <c r="AN50" s="583"/>
      <c r="AO50" s="583"/>
      <c r="AP50" s="583"/>
      <c r="AR50" s="119"/>
      <c r="AS50" s="119"/>
    </row>
    <row r="51" spans="1:45" ht="20.100000000000001" customHeight="1" x14ac:dyDescent="0.4">
      <c r="B51" s="585"/>
      <c r="C51" s="645"/>
      <c r="D51" s="646"/>
      <c r="E51" s="647"/>
      <c r="F51" s="622"/>
      <c r="G51" s="623"/>
      <c r="H51" s="623"/>
      <c r="I51" s="624"/>
      <c r="J51" s="746"/>
      <c r="K51" s="747"/>
      <c r="L51" s="747"/>
      <c r="M51" s="747"/>
      <c r="N51" s="747"/>
      <c r="O51" s="747"/>
      <c r="P51" s="747"/>
      <c r="Q51" s="628"/>
      <c r="R51" s="630"/>
      <c r="S51" s="109"/>
      <c r="T51" s="110"/>
      <c r="U51" s="109"/>
      <c r="V51" s="628"/>
      <c r="W51" s="630"/>
      <c r="X51" s="746"/>
      <c r="Y51" s="747"/>
      <c r="Z51" s="747"/>
      <c r="AA51" s="747"/>
      <c r="AB51" s="747"/>
      <c r="AC51" s="747"/>
      <c r="AD51" s="747"/>
      <c r="AE51" s="622"/>
      <c r="AF51" s="623"/>
      <c r="AG51" s="623"/>
      <c r="AH51" s="624"/>
      <c r="AI51" s="770"/>
      <c r="AJ51" s="771"/>
      <c r="AK51" s="771"/>
      <c r="AL51" s="771"/>
      <c r="AM51" s="771"/>
      <c r="AN51" s="771"/>
      <c r="AO51" s="771"/>
      <c r="AP51" s="772"/>
      <c r="AR51" s="119"/>
      <c r="AS51" s="119"/>
    </row>
    <row r="52" spans="1:45" ht="20.100000000000001" customHeight="1" x14ac:dyDescent="0.4">
      <c r="B52" s="586"/>
      <c r="C52" s="648"/>
      <c r="D52" s="649"/>
      <c r="E52" s="650"/>
      <c r="F52" s="625"/>
      <c r="G52" s="626"/>
      <c r="H52" s="626"/>
      <c r="I52" s="627"/>
      <c r="J52" s="747"/>
      <c r="K52" s="747"/>
      <c r="L52" s="747"/>
      <c r="M52" s="747"/>
      <c r="N52" s="747"/>
      <c r="O52" s="747"/>
      <c r="P52" s="747"/>
      <c r="Q52" s="631"/>
      <c r="R52" s="633"/>
      <c r="S52" s="100"/>
      <c r="T52" s="101"/>
      <c r="U52" s="100"/>
      <c r="V52" s="631"/>
      <c r="W52" s="633"/>
      <c r="X52" s="747"/>
      <c r="Y52" s="747"/>
      <c r="Z52" s="747"/>
      <c r="AA52" s="747"/>
      <c r="AB52" s="747"/>
      <c r="AC52" s="747"/>
      <c r="AD52" s="747"/>
      <c r="AE52" s="625"/>
      <c r="AF52" s="626"/>
      <c r="AG52" s="626"/>
      <c r="AH52" s="627"/>
      <c r="AI52" s="773"/>
      <c r="AJ52" s="774"/>
      <c r="AK52" s="774"/>
      <c r="AL52" s="774"/>
      <c r="AM52" s="774"/>
      <c r="AN52" s="774"/>
      <c r="AO52" s="774"/>
      <c r="AP52" s="775"/>
      <c r="AR52" s="119"/>
      <c r="AS52" s="119"/>
    </row>
    <row r="53" spans="1:45" ht="20.100000000000001" customHeight="1" x14ac:dyDescent="0.4">
      <c r="B53" s="585"/>
      <c r="C53" s="645"/>
      <c r="D53" s="646"/>
      <c r="E53" s="647"/>
      <c r="F53" s="622"/>
      <c r="G53" s="623"/>
      <c r="H53" s="623"/>
      <c r="I53" s="624"/>
      <c r="J53" s="758"/>
      <c r="K53" s="759"/>
      <c r="L53" s="759"/>
      <c r="M53" s="759"/>
      <c r="N53" s="759"/>
      <c r="O53" s="759"/>
      <c r="P53" s="760"/>
      <c r="Q53" s="628"/>
      <c r="R53" s="630"/>
      <c r="S53" s="100"/>
      <c r="T53" s="101"/>
      <c r="U53" s="100"/>
      <c r="V53" s="628"/>
      <c r="W53" s="630"/>
      <c r="X53" s="758"/>
      <c r="Y53" s="759"/>
      <c r="Z53" s="759"/>
      <c r="AA53" s="759"/>
      <c r="AB53" s="759"/>
      <c r="AC53" s="759"/>
      <c r="AD53" s="760"/>
      <c r="AE53" s="622"/>
      <c r="AF53" s="623"/>
      <c r="AG53" s="623"/>
      <c r="AH53" s="624"/>
      <c r="AI53" s="770"/>
      <c r="AJ53" s="771"/>
      <c r="AK53" s="771"/>
      <c r="AL53" s="771"/>
      <c r="AM53" s="771"/>
      <c r="AN53" s="771"/>
      <c r="AO53" s="771"/>
      <c r="AP53" s="772"/>
      <c r="AR53" s="119"/>
      <c r="AS53" s="119"/>
    </row>
    <row r="54" spans="1:45" ht="20.100000000000001" customHeight="1" x14ac:dyDescent="0.4">
      <c r="B54" s="586"/>
      <c r="C54" s="648"/>
      <c r="D54" s="649"/>
      <c r="E54" s="650"/>
      <c r="F54" s="625"/>
      <c r="G54" s="626"/>
      <c r="H54" s="626"/>
      <c r="I54" s="627"/>
      <c r="J54" s="761"/>
      <c r="K54" s="762"/>
      <c r="L54" s="762"/>
      <c r="M54" s="762"/>
      <c r="N54" s="762"/>
      <c r="O54" s="762"/>
      <c r="P54" s="763"/>
      <c r="Q54" s="631"/>
      <c r="R54" s="633"/>
      <c r="S54" s="100"/>
      <c r="T54" s="101"/>
      <c r="U54" s="100"/>
      <c r="V54" s="631"/>
      <c r="W54" s="633"/>
      <c r="X54" s="761"/>
      <c r="Y54" s="762"/>
      <c r="Z54" s="762"/>
      <c r="AA54" s="762"/>
      <c r="AB54" s="762"/>
      <c r="AC54" s="762"/>
      <c r="AD54" s="763"/>
      <c r="AE54" s="625"/>
      <c r="AF54" s="626"/>
      <c r="AG54" s="626"/>
      <c r="AH54" s="627"/>
      <c r="AI54" s="773"/>
      <c r="AJ54" s="774"/>
      <c r="AK54" s="774"/>
      <c r="AL54" s="774"/>
      <c r="AM54" s="774"/>
      <c r="AN54" s="774"/>
      <c r="AO54" s="774"/>
      <c r="AP54" s="775"/>
      <c r="AR54" s="119"/>
      <c r="AS54" s="119"/>
    </row>
    <row r="55" spans="1:45" ht="20.100000000000001" customHeight="1" x14ac:dyDescent="0.4">
      <c r="B55" s="585"/>
      <c r="C55" s="645"/>
      <c r="D55" s="646"/>
      <c r="E55" s="647"/>
      <c r="F55" s="622"/>
      <c r="G55" s="623"/>
      <c r="H55" s="623"/>
      <c r="I55" s="624"/>
      <c r="J55" s="758"/>
      <c r="K55" s="759"/>
      <c r="L55" s="759"/>
      <c r="M55" s="759"/>
      <c r="N55" s="759"/>
      <c r="O55" s="759"/>
      <c r="P55" s="760"/>
      <c r="Q55" s="628"/>
      <c r="R55" s="630"/>
      <c r="S55" s="100"/>
      <c r="T55" s="101"/>
      <c r="U55" s="100"/>
      <c r="V55" s="628"/>
      <c r="W55" s="630"/>
      <c r="X55" s="758"/>
      <c r="Y55" s="759"/>
      <c r="Z55" s="759"/>
      <c r="AA55" s="759"/>
      <c r="AB55" s="759"/>
      <c r="AC55" s="759"/>
      <c r="AD55" s="760"/>
      <c r="AE55" s="622"/>
      <c r="AF55" s="623"/>
      <c r="AG55" s="623"/>
      <c r="AH55" s="624"/>
      <c r="AI55" s="770"/>
      <c r="AJ55" s="771"/>
      <c r="AK55" s="771"/>
      <c r="AL55" s="771"/>
      <c r="AM55" s="771"/>
      <c r="AN55" s="771"/>
      <c r="AO55" s="771"/>
      <c r="AP55" s="772"/>
      <c r="AR55" s="119"/>
      <c r="AS55" s="119"/>
    </row>
    <row r="56" spans="1:45" ht="20.100000000000001" customHeight="1" x14ac:dyDescent="0.4">
      <c r="B56" s="586"/>
      <c r="C56" s="648"/>
      <c r="D56" s="649"/>
      <c r="E56" s="650"/>
      <c r="F56" s="625"/>
      <c r="G56" s="626"/>
      <c r="H56" s="626"/>
      <c r="I56" s="627"/>
      <c r="J56" s="761"/>
      <c r="K56" s="762"/>
      <c r="L56" s="762"/>
      <c r="M56" s="762"/>
      <c r="N56" s="762"/>
      <c r="O56" s="762"/>
      <c r="P56" s="763"/>
      <c r="Q56" s="631"/>
      <c r="R56" s="633"/>
      <c r="S56" s="100"/>
      <c r="T56" s="101"/>
      <c r="U56" s="100"/>
      <c r="V56" s="631"/>
      <c r="W56" s="633"/>
      <c r="X56" s="761"/>
      <c r="Y56" s="762"/>
      <c r="Z56" s="762"/>
      <c r="AA56" s="762"/>
      <c r="AB56" s="762"/>
      <c r="AC56" s="762"/>
      <c r="AD56" s="763"/>
      <c r="AE56" s="625"/>
      <c r="AF56" s="626"/>
      <c r="AG56" s="626"/>
      <c r="AH56" s="627"/>
      <c r="AI56" s="773"/>
      <c r="AJ56" s="774"/>
      <c r="AK56" s="774"/>
      <c r="AL56" s="774"/>
      <c r="AM56" s="774"/>
      <c r="AN56" s="774"/>
      <c r="AO56" s="774"/>
      <c r="AP56" s="775"/>
      <c r="AR56" s="119"/>
      <c r="AS56" s="119"/>
    </row>
    <row r="57" spans="1:45" ht="20.100000000000001" customHeight="1" x14ac:dyDescent="0.4">
      <c r="B57" s="585"/>
      <c r="C57" s="764"/>
      <c r="D57" s="765"/>
      <c r="E57" s="766"/>
      <c r="F57" s="622"/>
      <c r="G57" s="623"/>
      <c r="H57" s="623"/>
      <c r="I57" s="624"/>
      <c r="J57" s="689"/>
      <c r="K57" s="690"/>
      <c r="L57" s="690"/>
      <c r="M57" s="690"/>
      <c r="N57" s="690"/>
      <c r="O57" s="690"/>
      <c r="P57" s="691"/>
      <c r="Q57" s="628"/>
      <c r="R57" s="630"/>
      <c r="S57" s="100"/>
      <c r="T57" s="101"/>
      <c r="U57" s="100"/>
      <c r="V57" s="628"/>
      <c r="W57" s="630"/>
      <c r="X57" s="689"/>
      <c r="Y57" s="690"/>
      <c r="Z57" s="690"/>
      <c r="AA57" s="690"/>
      <c r="AB57" s="690"/>
      <c r="AC57" s="690"/>
      <c r="AD57" s="691"/>
      <c r="AE57" s="622"/>
      <c r="AF57" s="623"/>
      <c r="AG57" s="623"/>
      <c r="AH57" s="624"/>
      <c r="AI57" s="628"/>
      <c r="AJ57" s="629"/>
      <c r="AK57" s="629"/>
      <c r="AL57" s="629"/>
      <c r="AM57" s="629"/>
      <c r="AN57" s="629"/>
      <c r="AO57" s="629"/>
      <c r="AP57" s="630"/>
      <c r="AR57" s="119"/>
      <c r="AS57" s="119"/>
    </row>
    <row r="58" spans="1:45" ht="20.100000000000001" customHeight="1" x14ac:dyDescent="0.4">
      <c r="B58" s="586"/>
      <c r="C58" s="767"/>
      <c r="D58" s="768"/>
      <c r="E58" s="769"/>
      <c r="F58" s="625"/>
      <c r="G58" s="626"/>
      <c r="H58" s="626"/>
      <c r="I58" s="627"/>
      <c r="J58" s="692"/>
      <c r="K58" s="693"/>
      <c r="L58" s="693"/>
      <c r="M58" s="693"/>
      <c r="N58" s="693"/>
      <c r="O58" s="693"/>
      <c r="P58" s="694"/>
      <c r="Q58" s="631"/>
      <c r="R58" s="633"/>
      <c r="S58" s="100"/>
      <c r="T58" s="101"/>
      <c r="U58" s="100"/>
      <c r="V58" s="631"/>
      <c r="W58" s="633"/>
      <c r="X58" s="692"/>
      <c r="Y58" s="693"/>
      <c r="Z58" s="693"/>
      <c r="AA58" s="693"/>
      <c r="AB58" s="693"/>
      <c r="AC58" s="693"/>
      <c r="AD58" s="694"/>
      <c r="AE58" s="625"/>
      <c r="AF58" s="626"/>
      <c r="AG58" s="626"/>
      <c r="AH58" s="627"/>
      <c r="AI58" s="631"/>
      <c r="AJ58" s="632"/>
      <c r="AK58" s="632"/>
      <c r="AL58" s="632"/>
      <c r="AM58" s="632"/>
      <c r="AN58" s="632"/>
      <c r="AO58" s="632"/>
      <c r="AP58" s="633"/>
      <c r="AR58" s="119"/>
      <c r="AS58" s="119"/>
    </row>
    <row r="59" spans="1:45" ht="15.75" customHeight="1" thickBot="1" x14ac:dyDescent="0.45">
      <c r="A59" s="102"/>
      <c r="B59" s="103"/>
      <c r="C59" s="104"/>
      <c r="D59" s="104"/>
      <c r="E59" s="104"/>
      <c r="F59" s="103"/>
      <c r="G59" s="103"/>
      <c r="H59" s="103"/>
      <c r="I59" s="103"/>
      <c r="J59" s="103"/>
      <c r="K59" s="105"/>
      <c r="L59" s="105"/>
      <c r="M59" s="106"/>
      <c r="N59" s="107"/>
      <c r="O59" s="106"/>
      <c r="P59" s="105"/>
      <c r="Q59" s="105"/>
      <c r="R59" s="103"/>
      <c r="S59" s="103"/>
      <c r="T59" s="103"/>
      <c r="U59" s="103"/>
      <c r="V59" s="103"/>
      <c r="W59" s="108"/>
      <c r="X59" s="108"/>
      <c r="Y59" s="108"/>
      <c r="Z59" s="108"/>
      <c r="AA59" s="108"/>
      <c r="AB59" s="108"/>
      <c r="AC59" s="102"/>
    </row>
    <row r="60" spans="1:45" ht="20.25" customHeight="1" thickBot="1" x14ac:dyDescent="0.45">
      <c r="D60" s="664" t="s">
        <v>8</v>
      </c>
      <c r="E60" s="665"/>
      <c r="F60" s="665"/>
      <c r="G60" s="665"/>
      <c r="H60" s="665"/>
      <c r="I60" s="666"/>
      <c r="J60" s="667" t="s">
        <v>5</v>
      </c>
      <c r="K60" s="665"/>
      <c r="L60" s="665"/>
      <c r="M60" s="665"/>
      <c r="N60" s="665"/>
      <c r="O60" s="665"/>
      <c r="P60" s="665"/>
      <c r="Q60" s="666"/>
      <c r="R60" s="668" t="s">
        <v>9</v>
      </c>
      <c r="S60" s="669"/>
      <c r="T60" s="669"/>
      <c r="U60" s="669"/>
      <c r="V60" s="669"/>
      <c r="W60" s="669"/>
      <c r="X60" s="669"/>
      <c r="Y60" s="669"/>
      <c r="Z60" s="670"/>
      <c r="AA60" s="609" t="s">
        <v>10</v>
      </c>
      <c r="AB60" s="610"/>
      <c r="AC60" s="671"/>
      <c r="AD60" s="609" t="s">
        <v>11</v>
      </c>
      <c r="AE60" s="610"/>
      <c r="AF60" s="610"/>
      <c r="AG60" s="610"/>
      <c r="AH60" s="610"/>
      <c r="AI60" s="610"/>
      <c r="AJ60" s="610"/>
      <c r="AK60" s="610"/>
      <c r="AL60" s="610"/>
      <c r="AM60" s="611"/>
    </row>
    <row r="61" spans="1:45" ht="30" customHeight="1" x14ac:dyDescent="0.4">
      <c r="D61" s="651" t="s">
        <v>298</v>
      </c>
      <c r="E61" s="652"/>
      <c r="F61" s="652"/>
      <c r="G61" s="652"/>
      <c r="H61" s="652"/>
      <c r="I61" s="653"/>
      <c r="J61" s="654"/>
      <c r="K61" s="652"/>
      <c r="L61" s="652"/>
      <c r="M61" s="652"/>
      <c r="N61" s="652"/>
      <c r="O61" s="652"/>
      <c r="P61" s="652"/>
      <c r="Q61" s="653"/>
      <c r="R61" s="655"/>
      <c r="S61" s="656"/>
      <c r="T61" s="656"/>
      <c r="U61" s="656"/>
      <c r="V61" s="656"/>
      <c r="W61" s="656"/>
      <c r="X61" s="656"/>
      <c r="Y61" s="656"/>
      <c r="Z61" s="657"/>
      <c r="AA61" s="658"/>
      <c r="AB61" s="659"/>
      <c r="AC61" s="660"/>
      <c r="AD61" s="661"/>
      <c r="AE61" s="662"/>
      <c r="AF61" s="662"/>
      <c r="AG61" s="662"/>
      <c r="AH61" s="662"/>
      <c r="AI61" s="662"/>
      <c r="AJ61" s="662"/>
      <c r="AK61" s="662"/>
      <c r="AL61" s="662"/>
      <c r="AM61" s="663"/>
    </row>
    <row r="62" spans="1:45" ht="30" customHeight="1" x14ac:dyDescent="0.4">
      <c r="D62" s="688" t="s">
        <v>12</v>
      </c>
      <c r="E62" s="604"/>
      <c r="F62" s="604"/>
      <c r="G62" s="604"/>
      <c r="H62" s="604"/>
      <c r="I62" s="605"/>
      <c r="J62" s="603"/>
      <c r="K62" s="604"/>
      <c r="L62" s="604"/>
      <c r="M62" s="604"/>
      <c r="N62" s="604"/>
      <c r="O62" s="604"/>
      <c r="P62" s="604"/>
      <c r="Q62" s="605"/>
      <c r="R62" s="606"/>
      <c r="S62" s="607"/>
      <c r="T62" s="607"/>
      <c r="U62" s="607"/>
      <c r="V62" s="607"/>
      <c r="W62" s="607"/>
      <c r="X62" s="607"/>
      <c r="Y62" s="607"/>
      <c r="Z62" s="608"/>
      <c r="AA62" s="606"/>
      <c r="AB62" s="607"/>
      <c r="AC62" s="608"/>
      <c r="AD62" s="672"/>
      <c r="AE62" s="673"/>
      <c r="AF62" s="673"/>
      <c r="AG62" s="673"/>
      <c r="AH62" s="673"/>
      <c r="AI62" s="673"/>
      <c r="AJ62" s="673"/>
      <c r="AK62" s="673"/>
      <c r="AL62" s="673"/>
      <c r="AM62" s="674"/>
    </row>
    <row r="63" spans="1:45" ht="30" customHeight="1" thickBot="1" x14ac:dyDescent="0.45">
      <c r="D63" s="675" t="s">
        <v>12</v>
      </c>
      <c r="E63" s="676"/>
      <c r="F63" s="676"/>
      <c r="G63" s="676"/>
      <c r="H63" s="676"/>
      <c r="I63" s="677"/>
      <c r="J63" s="678"/>
      <c r="K63" s="676"/>
      <c r="L63" s="676"/>
      <c r="M63" s="676"/>
      <c r="N63" s="676"/>
      <c r="O63" s="676"/>
      <c r="P63" s="676"/>
      <c r="Q63" s="677"/>
      <c r="R63" s="679"/>
      <c r="S63" s="680"/>
      <c r="T63" s="680"/>
      <c r="U63" s="680"/>
      <c r="V63" s="680"/>
      <c r="W63" s="680"/>
      <c r="X63" s="680"/>
      <c r="Y63" s="680"/>
      <c r="Z63" s="681"/>
      <c r="AA63" s="682"/>
      <c r="AB63" s="683"/>
      <c r="AC63" s="684"/>
      <c r="AD63" s="685"/>
      <c r="AE63" s="686"/>
      <c r="AF63" s="686"/>
      <c r="AG63" s="686"/>
      <c r="AH63" s="686"/>
      <c r="AI63" s="686"/>
      <c r="AJ63" s="686"/>
      <c r="AK63" s="686"/>
      <c r="AL63" s="686"/>
      <c r="AM63" s="687"/>
    </row>
    <row r="64" spans="1:45" ht="14.25" customHeight="1" x14ac:dyDescent="0.4">
      <c r="A64" s="115"/>
      <c r="B64" s="115"/>
      <c r="AC64" s="133"/>
      <c r="AD64" s="133"/>
      <c r="AE64" s="133"/>
      <c r="AF64" s="133"/>
      <c r="AG64" s="133"/>
      <c r="AH64" s="133"/>
      <c r="AI64" s="133"/>
      <c r="AJ64" s="133"/>
    </row>
    <row r="65" spans="1:47" ht="27" customHeight="1" x14ac:dyDescent="0.4">
      <c r="A65" s="115"/>
      <c r="B65" s="599" t="str">
        <f>U12組合せ!$B$1</f>
        <v>ＪＦＡ　Ｕ-１２サッカーリーグ2021（in栃木） 宇都宮地区リーグ戦（前期）</v>
      </c>
      <c r="C65" s="599"/>
      <c r="D65" s="599"/>
      <c r="E65" s="599"/>
      <c r="F65" s="599"/>
      <c r="G65" s="599"/>
      <c r="H65" s="599"/>
      <c r="I65" s="599"/>
      <c r="J65" s="599"/>
      <c r="K65" s="599"/>
      <c r="L65" s="599"/>
      <c r="M65" s="599"/>
      <c r="N65" s="599"/>
      <c r="O65" s="599"/>
      <c r="P65" s="599"/>
      <c r="Q65" s="599"/>
      <c r="R65" s="599"/>
      <c r="S65" s="599"/>
      <c r="T65" s="599"/>
      <c r="U65" s="599"/>
      <c r="V65" s="599"/>
      <c r="W65" s="599"/>
      <c r="X65" s="599"/>
      <c r="Y65" s="599"/>
      <c r="Z65" s="599"/>
      <c r="AA65" s="599"/>
      <c r="AB65" s="599"/>
      <c r="AC65" s="612" t="str">
        <f>"【"&amp;(U12組合せ!$H$3)&amp;"】"</f>
        <v>【Ｃ ブロック】</v>
      </c>
      <c r="AD65" s="612"/>
      <c r="AE65" s="612"/>
      <c r="AF65" s="612"/>
      <c r="AG65" s="612"/>
      <c r="AH65" s="612"/>
      <c r="AI65" s="612"/>
      <c r="AJ65" s="612"/>
      <c r="AK65" s="602" t="str">
        <f>"第"&amp;(U12組合せ!$D$21)</f>
        <v>第１節</v>
      </c>
      <c r="AL65" s="602"/>
      <c r="AM65" s="602"/>
      <c r="AN65" s="602"/>
      <c r="AO65" s="602"/>
      <c r="AP65" s="597" t="s">
        <v>301</v>
      </c>
      <c r="AQ65" s="598"/>
    </row>
    <row r="66" spans="1:47" ht="27.75" customHeight="1" x14ac:dyDescent="0.4">
      <c r="A66" s="115"/>
      <c r="B66" s="599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599"/>
      <c r="X66" s="599"/>
      <c r="Y66" s="599"/>
      <c r="Z66" s="599"/>
      <c r="AA66" s="599"/>
      <c r="AB66" s="599"/>
      <c r="AC66" s="601"/>
      <c r="AD66" s="601"/>
      <c r="AE66" s="601"/>
      <c r="AF66" s="601"/>
      <c r="AG66" s="601"/>
      <c r="AH66" s="601"/>
      <c r="AI66" s="601"/>
      <c r="AJ66" s="601"/>
      <c r="AK66" s="601"/>
      <c r="AL66" s="601"/>
      <c r="AM66" s="601"/>
      <c r="AN66" s="601"/>
      <c r="AO66" s="601"/>
      <c r="AP66" s="598"/>
      <c r="AQ66" s="598"/>
    </row>
    <row r="67" spans="1:47" ht="29.25" customHeight="1" x14ac:dyDescent="0.4">
      <c r="C67" s="635" t="s">
        <v>1</v>
      </c>
      <c r="D67" s="635"/>
      <c r="E67" s="635"/>
      <c r="F67" s="635"/>
      <c r="G67" s="636" t="str">
        <f>U12対戦スケジュール!O21</f>
        <v>白沢 南 AM</v>
      </c>
      <c r="H67" s="636"/>
      <c r="I67" s="636"/>
      <c r="J67" s="636"/>
      <c r="K67" s="636"/>
      <c r="L67" s="636"/>
      <c r="M67" s="636"/>
      <c r="N67" s="636"/>
      <c r="O67" s="636"/>
      <c r="P67" s="635" t="s">
        <v>0</v>
      </c>
      <c r="Q67" s="635"/>
      <c r="R67" s="635"/>
      <c r="S67" s="635"/>
      <c r="T67" s="636" t="str">
        <f>J76</f>
        <v>シャルムグランツSC</v>
      </c>
      <c r="U67" s="636"/>
      <c r="V67" s="636"/>
      <c r="W67" s="636"/>
      <c r="X67" s="636"/>
      <c r="Y67" s="636"/>
      <c r="Z67" s="636"/>
      <c r="AA67" s="636"/>
      <c r="AB67" s="636"/>
      <c r="AC67" s="635" t="s">
        <v>2</v>
      </c>
      <c r="AD67" s="635"/>
      <c r="AE67" s="635"/>
      <c r="AF67" s="635"/>
      <c r="AG67" s="618">
        <f>U12対戦スケジュール!F3</f>
        <v>44296</v>
      </c>
      <c r="AH67" s="619"/>
      <c r="AI67" s="619"/>
      <c r="AJ67" s="619"/>
      <c r="AK67" s="619"/>
      <c r="AL67" s="619"/>
      <c r="AM67" s="620" t="str">
        <f>"（"&amp;TEXT(AG67,"aaa")&amp;"）"</f>
        <v>（土）</v>
      </c>
      <c r="AN67" s="620"/>
      <c r="AO67" s="621"/>
    </row>
    <row r="68" spans="1:47" ht="16.5" customHeight="1" x14ac:dyDescent="0.4">
      <c r="C68" s="102" t="str">
        <f>U12組合せ!I26</f>
        <v>C569</v>
      </c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95"/>
      <c r="X68" s="95"/>
      <c r="Y68" s="95"/>
      <c r="Z68" s="95"/>
      <c r="AA68" s="95"/>
      <c r="AB68" s="95"/>
      <c r="AC68" s="95"/>
    </row>
    <row r="69" spans="1:47" ht="28.5" customHeight="1" x14ac:dyDescent="0.4">
      <c r="C69" s="637">
        <v>1</v>
      </c>
      <c r="D69" s="637"/>
      <c r="E69" s="750" t="str">
        <f>VLOOKUP(C69,U12組合せ!B$10:K$19,7,TRUE)</f>
        <v>FCアリーバ</v>
      </c>
      <c r="F69" s="751"/>
      <c r="G69" s="751"/>
      <c r="H69" s="751"/>
      <c r="I69" s="751"/>
      <c r="J69" s="751"/>
      <c r="K69" s="751"/>
      <c r="L69" s="751"/>
      <c r="M69" s="751"/>
      <c r="N69" s="752"/>
      <c r="O69" s="94"/>
      <c r="P69" s="94"/>
      <c r="Q69" s="637">
        <v>4</v>
      </c>
      <c r="R69" s="637"/>
      <c r="S69" s="750" t="str">
        <f>VLOOKUP(Q69,U12組合せ!B$10:K$19,7,TRUE)</f>
        <v>ともぞうSC　U11</v>
      </c>
      <c r="T69" s="751"/>
      <c r="U69" s="751"/>
      <c r="V69" s="751"/>
      <c r="W69" s="751"/>
      <c r="X69" s="751"/>
      <c r="Y69" s="751"/>
      <c r="Z69" s="751"/>
      <c r="AA69" s="751"/>
      <c r="AB69" s="752"/>
      <c r="AC69" s="92"/>
      <c r="AD69" s="93"/>
      <c r="AE69" s="637">
        <v>7</v>
      </c>
      <c r="AF69" s="637"/>
      <c r="AG69" s="793" t="str">
        <f>VLOOKUP(AE69,U12組合せ!B$10:'U12組合せ'!K$19,7,TRUE)</f>
        <v>雀宮FC</v>
      </c>
      <c r="AH69" s="794"/>
      <c r="AI69" s="794"/>
      <c r="AJ69" s="794"/>
      <c r="AK69" s="794"/>
      <c r="AL69" s="794"/>
      <c r="AM69" s="794"/>
      <c r="AN69" s="794"/>
      <c r="AO69" s="794"/>
      <c r="AP69" s="795"/>
    </row>
    <row r="70" spans="1:47" ht="28.5" customHeight="1" x14ac:dyDescent="0.4">
      <c r="C70" s="637">
        <v>2</v>
      </c>
      <c r="D70" s="637"/>
      <c r="E70" s="750" t="str">
        <f>VLOOKUP(C70,U12組合せ!B$10:K$19,7,TRUE)</f>
        <v>カテット白沢SS</v>
      </c>
      <c r="F70" s="751"/>
      <c r="G70" s="751"/>
      <c r="H70" s="751"/>
      <c r="I70" s="751"/>
      <c r="J70" s="751"/>
      <c r="K70" s="751"/>
      <c r="L70" s="751"/>
      <c r="M70" s="751"/>
      <c r="N70" s="752"/>
      <c r="O70" s="94"/>
      <c r="P70" s="94"/>
      <c r="Q70" s="636">
        <v>5</v>
      </c>
      <c r="R70" s="636"/>
      <c r="S70" s="753" t="str">
        <f>VLOOKUP(Q70,U12組合せ!B$10:K$19,7,TRUE)</f>
        <v>豊郷JFC宇都宮U-12</v>
      </c>
      <c r="T70" s="754"/>
      <c r="U70" s="754"/>
      <c r="V70" s="754"/>
      <c r="W70" s="754"/>
      <c r="X70" s="754"/>
      <c r="Y70" s="754"/>
      <c r="Z70" s="754"/>
      <c r="AA70" s="754"/>
      <c r="AB70" s="755"/>
      <c r="AC70" s="92"/>
      <c r="AD70" s="93"/>
      <c r="AE70" s="637">
        <v>8</v>
      </c>
      <c r="AF70" s="637"/>
      <c r="AG70" s="793" t="str">
        <f>VLOOKUP(AE70,U12組合せ!B$10:'U12組合せ'!K$19,7,TRUE)</f>
        <v>FCみらいP</v>
      </c>
      <c r="AH70" s="794"/>
      <c r="AI70" s="794"/>
      <c r="AJ70" s="794"/>
      <c r="AK70" s="794"/>
      <c r="AL70" s="794"/>
      <c r="AM70" s="794"/>
      <c r="AN70" s="794"/>
      <c r="AO70" s="794"/>
      <c r="AP70" s="795"/>
    </row>
    <row r="71" spans="1:47" ht="28.5" customHeight="1" x14ac:dyDescent="0.4">
      <c r="C71" s="637">
        <v>3</v>
      </c>
      <c r="D71" s="637"/>
      <c r="E71" s="750" t="str">
        <f>VLOOKUP(C71,U12組合せ!B$10:K$19,7,TRUE)</f>
        <v>リフレSCチェルビアット</v>
      </c>
      <c r="F71" s="751"/>
      <c r="G71" s="751"/>
      <c r="H71" s="751"/>
      <c r="I71" s="751"/>
      <c r="J71" s="751"/>
      <c r="K71" s="751"/>
      <c r="L71" s="751"/>
      <c r="M71" s="751"/>
      <c r="N71" s="752"/>
      <c r="O71" s="94"/>
      <c r="P71" s="94"/>
      <c r="Q71" s="636">
        <v>6</v>
      </c>
      <c r="R71" s="636"/>
      <c r="S71" s="753" t="str">
        <f>VLOOKUP(Q71,U12組合せ!B$10:K$19,7,TRUE)</f>
        <v>シャルムグランツSC</v>
      </c>
      <c r="T71" s="754"/>
      <c r="U71" s="754"/>
      <c r="V71" s="754"/>
      <c r="W71" s="754"/>
      <c r="X71" s="754"/>
      <c r="Y71" s="754"/>
      <c r="Z71" s="754"/>
      <c r="AA71" s="754"/>
      <c r="AB71" s="755"/>
      <c r="AC71" s="92"/>
      <c r="AD71" s="93"/>
      <c r="AE71" s="725">
        <v>9</v>
      </c>
      <c r="AF71" s="727"/>
      <c r="AG71" s="790" t="str">
        <f>VLOOKUP(AE71,U12組合せ!B$10:'U12組合せ'!K$19,7,TRUE)</f>
        <v>みはらSC jr</v>
      </c>
      <c r="AH71" s="791"/>
      <c r="AI71" s="791"/>
      <c r="AJ71" s="791"/>
      <c r="AK71" s="791"/>
      <c r="AL71" s="791"/>
      <c r="AM71" s="791"/>
      <c r="AN71" s="791"/>
      <c r="AO71" s="791"/>
      <c r="AP71" s="792"/>
    </row>
    <row r="72" spans="1:47" ht="15.75" customHeight="1" x14ac:dyDescent="0.4">
      <c r="B72" s="102"/>
      <c r="O72" s="102"/>
      <c r="P72" s="102"/>
      <c r="AC72" s="95"/>
      <c r="AD72" s="102"/>
      <c r="AE72" s="102"/>
      <c r="AF72" s="102"/>
      <c r="AG72" s="102"/>
    </row>
    <row r="73" spans="1:47" ht="15.75" customHeight="1" x14ac:dyDescent="0.4">
      <c r="C73" s="117"/>
      <c r="D73" s="118"/>
      <c r="E73" s="118"/>
      <c r="F73" s="118"/>
      <c r="G73" s="118"/>
      <c r="H73" s="118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18"/>
      <c r="U73" s="102"/>
      <c r="V73" s="118"/>
      <c r="W73" s="102"/>
      <c r="X73" s="118"/>
      <c r="Y73" s="102"/>
      <c r="Z73" s="118"/>
      <c r="AA73" s="102"/>
      <c r="AB73" s="118"/>
      <c r="AC73" s="118"/>
      <c r="AU73" s="102"/>
    </row>
    <row r="74" spans="1:47" ht="19.5" customHeight="1" x14ac:dyDescent="0.4">
      <c r="B74" s="118" t="str">
        <f ca="1">IF(B76="①","【監督会議 8：20～】","【監督会議 12：50～】")</f>
        <v>【監督会議 8：20～】</v>
      </c>
      <c r="I74" s="96" t="s">
        <v>330</v>
      </c>
      <c r="AU74" s="102"/>
    </row>
    <row r="75" spans="1:47" ht="20.100000000000001" customHeight="1" x14ac:dyDescent="0.4">
      <c r="B75" s="97"/>
      <c r="C75" s="711" t="s">
        <v>3</v>
      </c>
      <c r="D75" s="711"/>
      <c r="E75" s="711"/>
      <c r="F75" s="712" t="s">
        <v>4</v>
      </c>
      <c r="G75" s="712"/>
      <c r="H75" s="712"/>
      <c r="I75" s="712"/>
      <c r="J75" s="711" t="s">
        <v>5</v>
      </c>
      <c r="K75" s="713"/>
      <c r="L75" s="713"/>
      <c r="M75" s="713"/>
      <c r="N75" s="713"/>
      <c r="O75" s="713"/>
      <c r="P75" s="713"/>
      <c r="Q75" s="711" t="s">
        <v>32</v>
      </c>
      <c r="R75" s="711"/>
      <c r="S75" s="711"/>
      <c r="T75" s="711"/>
      <c r="U75" s="711"/>
      <c r="V75" s="711"/>
      <c r="W75" s="711"/>
      <c r="X75" s="711" t="s">
        <v>5</v>
      </c>
      <c r="Y75" s="713"/>
      <c r="Z75" s="713"/>
      <c r="AA75" s="713"/>
      <c r="AB75" s="713"/>
      <c r="AC75" s="713"/>
      <c r="AD75" s="713"/>
      <c r="AE75" s="712" t="s">
        <v>4</v>
      </c>
      <c r="AF75" s="712"/>
      <c r="AG75" s="712"/>
      <c r="AH75" s="712"/>
      <c r="AI75" s="711" t="s">
        <v>6</v>
      </c>
      <c r="AJ75" s="711"/>
      <c r="AK75" s="713"/>
      <c r="AL75" s="713"/>
      <c r="AM75" s="713"/>
      <c r="AN75" s="713"/>
      <c r="AO75" s="713"/>
      <c r="AP75" s="713"/>
      <c r="AU75" s="102"/>
    </row>
    <row r="76" spans="1:47" ht="20.100000000000001" customHeight="1" x14ac:dyDescent="0.4">
      <c r="B76" s="644" t="str">
        <f ca="1">DBCS(INDIRECT("U12対戦スケジュール!ｍ"&amp;(ROW())/2-15))</f>
        <v>①</v>
      </c>
      <c r="C76" s="645">
        <f ca="1">INDIRECT("U12対戦スケジュール!ｎ"&amp;(ROW())/2-15)</f>
        <v>0.375</v>
      </c>
      <c r="D76" s="646"/>
      <c r="E76" s="647"/>
      <c r="F76" s="583"/>
      <c r="G76" s="583"/>
      <c r="H76" s="583"/>
      <c r="I76" s="583"/>
      <c r="J76" s="746" t="str">
        <f>VLOOKUP(AR76,U12組合せ!B$10:K$19,7,TRUE)</f>
        <v>シャルムグランツSC</v>
      </c>
      <c r="K76" s="747"/>
      <c r="L76" s="747"/>
      <c r="M76" s="747"/>
      <c r="N76" s="747"/>
      <c r="O76" s="747"/>
      <c r="P76" s="747"/>
      <c r="Q76" s="628">
        <f>IF(OR(S76="",S77=""),"",S76+S77)</f>
        <v>1</v>
      </c>
      <c r="R76" s="630"/>
      <c r="S76" s="100">
        <v>1</v>
      </c>
      <c r="T76" s="101" t="s">
        <v>7</v>
      </c>
      <c r="U76" s="100">
        <v>2</v>
      </c>
      <c r="V76" s="628">
        <f>IF(OR(U76="",U77=""),"",U76+U77)</f>
        <v>6</v>
      </c>
      <c r="W76" s="630"/>
      <c r="X76" s="746" t="str">
        <f>VLOOKUP(AS76,U12組合せ!B$10:K$19,7,TRUE)</f>
        <v>みはらSC jr</v>
      </c>
      <c r="Y76" s="747"/>
      <c r="Z76" s="747"/>
      <c r="AA76" s="747"/>
      <c r="AB76" s="747"/>
      <c r="AC76" s="747"/>
      <c r="AD76" s="747"/>
      <c r="AE76" s="583"/>
      <c r="AF76" s="583"/>
      <c r="AG76" s="583"/>
      <c r="AH76" s="583"/>
      <c r="AI76" s="634" t="str">
        <f ca="1">DBCS(INDIRECT("U12対戦スケジュール!R"&amp;(ROW())/2-15))</f>
        <v>８／５／５／８</v>
      </c>
      <c r="AJ76" s="583"/>
      <c r="AK76" s="583"/>
      <c r="AL76" s="583"/>
      <c r="AM76" s="583"/>
      <c r="AN76" s="583"/>
      <c r="AO76" s="583"/>
      <c r="AP76" s="583"/>
      <c r="AR76" s="119">
        <v>6</v>
      </c>
      <c r="AS76" s="119">
        <v>9</v>
      </c>
      <c r="AU76" s="102"/>
    </row>
    <row r="77" spans="1:47" ht="19.5" customHeight="1" x14ac:dyDescent="0.4">
      <c r="B77" s="644"/>
      <c r="C77" s="648"/>
      <c r="D77" s="649"/>
      <c r="E77" s="650"/>
      <c r="F77" s="583"/>
      <c r="G77" s="583"/>
      <c r="H77" s="583"/>
      <c r="I77" s="583"/>
      <c r="J77" s="747"/>
      <c r="K77" s="747"/>
      <c r="L77" s="747"/>
      <c r="M77" s="747"/>
      <c r="N77" s="747"/>
      <c r="O77" s="747"/>
      <c r="P77" s="747"/>
      <c r="Q77" s="631"/>
      <c r="R77" s="633"/>
      <c r="S77" s="100">
        <v>0</v>
      </c>
      <c r="T77" s="101" t="s">
        <v>7</v>
      </c>
      <c r="U77" s="100">
        <v>4</v>
      </c>
      <c r="V77" s="631"/>
      <c r="W77" s="633"/>
      <c r="X77" s="747"/>
      <c r="Y77" s="747"/>
      <c r="Z77" s="747"/>
      <c r="AA77" s="747"/>
      <c r="AB77" s="747"/>
      <c r="AC77" s="747"/>
      <c r="AD77" s="747"/>
      <c r="AE77" s="583"/>
      <c r="AF77" s="583"/>
      <c r="AG77" s="583"/>
      <c r="AH77" s="583"/>
      <c r="AI77" s="583"/>
      <c r="AJ77" s="583"/>
      <c r="AK77" s="583"/>
      <c r="AL77" s="583"/>
      <c r="AM77" s="583"/>
      <c r="AN77" s="583"/>
      <c r="AO77" s="583"/>
      <c r="AP77" s="583"/>
      <c r="AR77" s="119"/>
      <c r="AS77" s="119"/>
    </row>
    <row r="78" spans="1:47" ht="20.100000000000001" customHeight="1" x14ac:dyDescent="0.4">
      <c r="B78" s="644" t="str">
        <f ca="1">DBCS(INDIRECT("U12対戦スケジュール!ｍ"&amp;(ROW())/2-15))</f>
        <v>②</v>
      </c>
      <c r="C78" s="645">
        <f ca="1">INDIRECT("U12対戦スケジュール!ｎ"&amp;(ROW())/2-15)</f>
        <v>0.41699999999999998</v>
      </c>
      <c r="D78" s="646"/>
      <c r="E78" s="647"/>
      <c r="F78" s="583"/>
      <c r="G78" s="583"/>
      <c r="H78" s="583"/>
      <c r="I78" s="583"/>
      <c r="J78" s="746" t="str">
        <f>VLOOKUP(AR78,U12組合せ!B$10:K$19,7,TRUE)</f>
        <v>豊郷JFC宇都宮U-12</v>
      </c>
      <c r="K78" s="747"/>
      <c r="L78" s="747"/>
      <c r="M78" s="747"/>
      <c r="N78" s="747"/>
      <c r="O78" s="747"/>
      <c r="P78" s="747"/>
      <c r="Q78" s="634">
        <f>IF(OR(S78="",S79=""),"",S78+S79)</f>
        <v>5</v>
      </c>
      <c r="R78" s="634"/>
      <c r="S78" s="100">
        <v>0</v>
      </c>
      <c r="T78" s="101" t="s">
        <v>7</v>
      </c>
      <c r="U78" s="100">
        <v>0</v>
      </c>
      <c r="V78" s="634">
        <f>IF(OR(U78="",U79=""),"",U78+U79)</f>
        <v>0</v>
      </c>
      <c r="W78" s="634"/>
      <c r="X78" s="746" t="str">
        <f>VLOOKUP(AS78,U12組合せ!B$10:K$19,7,TRUE)</f>
        <v>シャルムグランツSC</v>
      </c>
      <c r="Y78" s="747"/>
      <c r="Z78" s="747"/>
      <c r="AA78" s="747"/>
      <c r="AB78" s="747"/>
      <c r="AC78" s="747"/>
      <c r="AD78" s="747"/>
      <c r="AE78" s="583"/>
      <c r="AF78" s="583"/>
      <c r="AG78" s="583"/>
      <c r="AH78" s="583"/>
      <c r="AI78" s="634" t="str">
        <f ca="1">DBCS(INDIRECT("U12対戦スケジュール!R"&amp;(ROW())/2-15))</f>
        <v>７／８／８／７</v>
      </c>
      <c r="AJ78" s="583"/>
      <c r="AK78" s="583"/>
      <c r="AL78" s="583"/>
      <c r="AM78" s="583"/>
      <c r="AN78" s="583"/>
      <c r="AO78" s="583"/>
      <c r="AP78" s="583"/>
      <c r="AR78" s="119">
        <v>5</v>
      </c>
      <c r="AS78" s="119">
        <v>6</v>
      </c>
    </row>
    <row r="79" spans="1:47" ht="20.100000000000001" customHeight="1" x14ac:dyDescent="0.4">
      <c r="B79" s="644"/>
      <c r="C79" s="648"/>
      <c r="D79" s="649"/>
      <c r="E79" s="650"/>
      <c r="F79" s="583"/>
      <c r="G79" s="583"/>
      <c r="H79" s="583"/>
      <c r="I79" s="583"/>
      <c r="J79" s="747"/>
      <c r="K79" s="747"/>
      <c r="L79" s="747"/>
      <c r="M79" s="747"/>
      <c r="N79" s="747"/>
      <c r="O79" s="747"/>
      <c r="P79" s="747"/>
      <c r="Q79" s="634"/>
      <c r="R79" s="634"/>
      <c r="S79" s="100">
        <v>5</v>
      </c>
      <c r="T79" s="101" t="s">
        <v>7</v>
      </c>
      <c r="U79" s="100">
        <v>0</v>
      </c>
      <c r="V79" s="634"/>
      <c r="W79" s="634"/>
      <c r="X79" s="747"/>
      <c r="Y79" s="747"/>
      <c r="Z79" s="747"/>
      <c r="AA79" s="747"/>
      <c r="AB79" s="747"/>
      <c r="AC79" s="747"/>
      <c r="AD79" s="747"/>
      <c r="AE79" s="583"/>
      <c r="AF79" s="583"/>
      <c r="AG79" s="583"/>
      <c r="AH79" s="583"/>
      <c r="AI79" s="583"/>
      <c r="AJ79" s="583"/>
      <c r="AK79" s="583"/>
      <c r="AL79" s="583"/>
      <c r="AM79" s="583"/>
      <c r="AN79" s="583"/>
      <c r="AO79" s="583"/>
      <c r="AP79" s="583"/>
      <c r="AR79" s="119"/>
      <c r="AS79" s="119"/>
    </row>
    <row r="80" spans="1:47" ht="20.100000000000001" customHeight="1" x14ac:dyDescent="0.4">
      <c r="B80" s="644" t="str">
        <f ca="1">DBCS(INDIRECT("U12対戦スケジュール!ｍ"&amp;(ROW())/2-15))</f>
        <v>③</v>
      </c>
      <c r="C80" s="645">
        <f ca="1">INDIRECT("U12対戦スケジュール!ｎ"&amp;(ROW())/2-15)</f>
        <v>0.45899999999999996</v>
      </c>
      <c r="D80" s="646"/>
      <c r="E80" s="647"/>
      <c r="F80" s="583"/>
      <c r="G80" s="583"/>
      <c r="H80" s="583"/>
      <c r="I80" s="583"/>
      <c r="J80" s="746"/>
      <c r="K80" s="747"/>
      <c r="L80" s="747"/>
      <c r="M80" s="747"/>
      <c r="N80" s="747"/>
      <c r="O80" s="747"/>
      <c r="P80" s="747"/>
      <c r="Q80" s="634"/>
      <c r="R80" s="634"/>
      <c r="S80" s="100"/>
      <c r="T80" s="101"/>
      <c r="U80" s="100"/>
      <c r="V80" s="634"/>
      <c r="W80" s="634"/>
      <c r="X80" s="746"/>
      <c r="Y80" s="747"/>
      <c r="Z80" s="747"/>
      <c r="AA80" s="747"/>
      <c r="AB80" s="747"/>
      <c r="AC80" s="747"/>
      <c r="AD80" s="747"/>
      <c r="AE80" s="583"/>
      <c r="AF80" s="583"/>
      <c r="AG80" s="583"/>
      <c r="AH80" s="583"/>
      <c r="AI80" s="634"/>
      <c r="AJ80" s="583"/>
      <c r="AK80" s="583"/>
      <c r="AL80" s="583"/>
      <c r="AM80" s="583"/>
      <c r="AN80" s="583"/>
      <c r="AO80" s="583"/>
      <c r="AP80" s="583"/>
      <c r="AR80" s="119"/>
      <c r="AS80" s="119"/>
    </row>
    <row r="81" spans="1:45" ht="20.100000000000001" customHeight="1" x14ac:dyDescent="0.4">
      <c r="B81" s="644"/>
      <c r="C81" s="648"/>
      <c r="D81" s="649"/>
      <c r="E81" s="650"/>
      <c r="F81" s="583"/>
      <c r="G81" s="583"/>
      <c r="H81" s="583"/>
      <c r="I81" s="583"/>
      <c r="J81" s="747"/>
      <c r="K81" s="747"/>
      <c r="L81" s="747"/>
      <c r="M81" s="747"/>
      <c r="N81" s="747"/>
      <c r="O81" s="747"/>
      <c r="P81" s="747"/>
      <c r="Q81" s="634"/>
      <c r="R81" s="634"/>
      <c r="S81" s="100"/>
      <c r="T81" s="101"/>
      <c r="U81" s="100"/>
      <c r="V81" s="634"/>
      <c r="W81" s="634"/>
      <c r="X81" s="747"/>
      <c r="Y81" s="747"/>
      <c r="Z81" s="747"/>
      <c r="AA81" s="747"/>
      <c r="AB81" s="747"/>
      <c r="AC81" s="747"/>
      <c r="AD81" s="747"/>
      <c r="AE81" s="583"/>
      <c r="AF81" s="583"/>
      <c r="AG81" s="583"/>
      <c r="AH81" s="583"/>
      <c r="AI81" s="583"/>
      <c r="AJ81" s="583"/>
      <c r="AK81" s="583"/>
      <c r="AL81" s="583"/>
      <c r="AM81" s="583"/>
      <c r="AN81" s="583"/>
      <c r="AO81" s="583"/>
      <c r="AP81" s="583"/>
      <c r="AR81" s="119"/>
      <c r="AS81" s="119"/>
    </row>
    <row r="82" spans="1:45" ht="20.100000000000001" customHeight="1" x14ac:dyDescent="0.4">
      <c r="B82" s="586"/>
      <c r="C82" s="739"/>
      <c r="D82" s="740"/>
      <c r="E82" s="741"/>
      <c r="F82" s="704"/>
      <c r="G82" s="704"/>
      <c r="H82" s="704"/>
      <c r="I82" s="704"/>
      <c r="J82" s="701"/>
      <c r="K82" s="702"/>
      <c r="L82" s="702"/>
      <c r="M82" s="702"/>
      <c r="N82" s="702"/>
      <c r="O82" s="702"/>
      <c r="P82" s="702"/>
      <c r="Q82" s="705"/>
      <c r="R82" s="705"/>
      <c r="S82" s="109"/>
      <c r="T82" s="110"/>
      <c r="U82" s="109"/>
      <c r="V82" s="705"/>
      <c r="W82" s="705"/>
      <c r="X82" s="701"/>
      <c r="Y82" s="702"/>
      <c r="Z82" s="702"/>
      <c r="AA82" s="702"/>
      <c r="AB82" s="702"/>
      <c r="AC82" s="702"/>
      <c r="AD82" s="702"/>
      <c r="AE82" s="704"/>
      <c r="AF82" s="704"/>
      <c r="AG82" s="704"/>
      <c r="AH82" s="704"/>
      <c r="AI82" s="706"/>
      <c r="AJ82" s="707"/>
      <c r="AK82" s="707"/>
      <c r="AL82" s="707"/>
      <c r="AM82" s="707"/>
      <c r="AN82" s="707"/>
      <c r="AO82" s="707"/>
      <c r="AP82" s="707"/>
    </row>
    <row r="83" spans="1:45" ht="20.100000000000001" customHeight="1" x14ac:dyDescent="0.4">
      <c r="B83" s="644"/>
      <c r="C83" s="648"/>
      <c r="D83" s="649"/>
      <c r="E83" s="650"/>
      <c r="F83" s="583"/>
      <c r="G83" s="583"/>
      <c r="H83" s="583"/>
      <c r="I83" s="583"/>
      <c r="J83" s="703"/>
      <c r="K83" s="703"/>
      <c r="L83" s="703"/>
      <c r="M83" s="703"/>
      <c r="N83" s="703"/>
      <c r="O83" s="703"/>
      <c r="P83" s="703"/>
      <c r="Q83" s="634"/>
      <c r="R83" s="634"/>
      <c r="S83" s="100"/>
      <c r="T83" s="101"/>
      <c r="U83" s="100"/>
      <c r="V83" s="634"/>
      <c r="W83" s="634"/>
      <c r="X83" s="703"/>
      <c r="Y83" s="703"/>
      <c r="Z83" s="703"/>
      <c r="AA83" s="703"/>
      <c r="AB83" s="703"/>
      <c r="AC83" s="703"/>
      <c r="AD83" s="703"/>
      <c r="AE83" s="583"/>
      <c r="AF83" s="583"/>
      <c r="AG83" s="583"/>
      <c r="AH83" s="583"/>
      <c r="AI83" s="708"/>
      <c r="AJ83" s="708"/>
      <c r="AK83" s="708"/>
      <c r="AL83" s="708"/>
      <c r="AM83" s="708"/>
      <c r="AN83" s="708"/>
      <c r="AO83" s="708"/>
      <c r="AP83" s="708"/>
    </row>
    <row r="84" spans="1:45" ht="20.100000000000001" customHeight="1" x14ac:dyDescent="0.4">
      <c r="B84" s="585"/>
      <c r="C84" s="587"/>
      <c r="D84" s="588"/>
      <c r="E84" s="589"/>
      <c r="F84" s="622"/>
      <c r="G84" s="623"/>
      <c r="H84" s="623"/>
      <c r="I84" s="624"/>
      <c r="J84" s="689"/>
      <c r="K84" s="690"/>
      <c r="L84" s="690"/>
      <c r="M84" s="690"/>
      <c r="N84" s="690"/>
      <c r="O84" s="690"/>
      <c r="P84" s="691"/>
      <c r="Q84" s="628"/>
      <c r="R84" s="630"/>
      <c r="S84" s="100"/>
      <c r="T84" s="101"/>
      <c r="U84" s="100"/>
      <c r="V84" s="628"/>
      <c r="W84" s="630"/>
      <c r="X84" s="695"/>
      <c r="Y84" s="696"/>
      <c r="Z84" s="696"/>
      <c r="AA84" s="696"/>
      <c r="AB84" s="696"/>
      <c r="AC84" s="696"/>
      <c r="AD84" s="697"/>
      <c r="AE84" s="622"/>
      <c r="AF84" s="623"/>
      <c r="AG84" s="623"/>
      <c r="AH84" s="624"/>
      <c r="AI84" s="628"/>
      <c r="AJ84" s="629"/>
      <c r="AK84" s="629"/>
      <c r="AL84" s="629"/>
      <c r="AM84" s="629"/>
      <c r="AN84" s="629"/>
      <c r="AO84" s="629"/>
      <c r="AP84" s="630"/>
    </row>
    <row r="85" spans="1:45" ht="20.100000000000001" customHeight="1" x14ac:dyDescent="0.4">
      <c r="B85" s="586"/>
      <c r="C85" s="590"/>
      <c r="D85" s="591"/>
      <c r="E85" s="592"/>
      <c r="F85" s="625"/>
      <c r="G85" s="626"/>
      <c r="H85" s="626"/>
      <c r="I85" s="627"/>
      <c r="J85" s="692"/>
      <c r="K85" s="693"/>
      <c r="L85" s="693"/>
      <c r="M85" s="693"/>
      <c r="N85" s="693"/>
      <c r="O85" s="693"/>
      <c r="P85" s="694"/>
      <c r="Q85" s="631"/>
      <c r="R85" s="633"/>
      <c r="S85" s="100"/>
      <c r="T85" s="101"/>
      <c r="U85" s="100"/>
      <c r="V85" s="631"/>
      <c r="W85" s="633"/>
      <c r="X85" s="698"/>
      <c r="Y85" s="699"/>
      <c r="Z85" s="699"/>
      <c r="AA85" s="699"/>
      <c r="AB85" s="699"/>
      <c r="AC85" s="699"/>
      <c r="AD85" s="700"/>
      <c r="AE85" s="625"/>
      <c r="AF85" s="626"/>
      <c r="AG85" s="626"/>
      <c r="AH85" s="627"/>
      <c r="AI85" s="631"/>
      <c r="AJ85" s="632"/>
      <c r="AK85" s="632"/>
      <c r="AL85" s="632"/>
      <c r="AM85" s="632"/>
      <c r="AN85" s="632"/>
      <c r="AO85" s="632"/>
      <c r="AP85" s="633"/>
    </row>
    <row r="86" spans="1:45" ht="20.100000000000001" customHeight="1" x14ac:dyDescent="0.4">
      <c r="B86" s="585"/>
      <c r="C86" s="587"/>
      <c r="D86" s="588"/>
      <c r="E86" s="589"/>
      <c r="F86" s="622"/>
      <c r="G86" s="623"/>
      <c r="H86" s="623"/>
      <c r="I86" s="624"/>
      <c r="J86" s="689"/>
      <c r="K86" s="690"/>
      <c r="L86" s="690"/>
      <c r="M86" s="690"/>
      <c r="N86" s="690"/>
      <c r="O86" s="690"/>
      <c r="P86" s="691"/>
      <c r="Q86" s="628"/>
      <c r="R86" s="630"/>
      <c r="S86" s="100"/>
      <c r="T86" s="101"/>
      <c r="U86" s="100"/>
      <c r="V86" s="628"/>
      <c r="W86" s="630"/>
      <c r="X86" s="695"/>
      <c r="Y86" s="696"/>
      <c r="Z86" s="696"/>
      <c r="AA86" s="696"/>
      <c r="AB86" s="696"/>
      <c r="AC86" s="696"/>
      <c r="AD86" s="697"/>
      <c r="AE86" s="622"/>
      <c r="AF86" s="623"/>
      <c r="AG86" s="623"/>
      <c r="AH86" s="624"/>
      <c r="AI86" s="628"/>
      <c r="AJ86" s="629"/>
      <c r="AK86" s="629"/>
      <c r="AL86" s="629"/>
      <c r="AM86" s="629"/>
      <c r="AN86" s="629"/>
      <c r="AO86" s="629"/>
      <c r="AP86" s="630"/>
    </row>
    <row r="87" spans="1:45" ht="20.100000000000001" customHeight="1" x14ac:dyDescent="0.4">
      <c r="B87" s="586"/>
      <c r="C87" s="590"/>
      <c r="D87" s="591"/>
      <c r="E87" s="592"/>
      <c r="F87" s="625"/>
      <c r="G87" s="626"/>
      <c r="H87" s="626"/>
      <c r="I87" s="627"/>
      <c r="J87" s="692"/>
      <c r="K87" s="693"/>
      <c r="L87" s="693"/>
      <c r="M87" s="693"/>
      <c r="N87" s="693"/>
      <c r="O87" s="693"/>
      <c r="P87" s="694"/>
      <c r="Q87" s="631"/>
      <c r="R87" s="633"/>
      <c r="S87" s="100"/>
      <c r="T87" s="101"/>
      <c r="U87" s="100"/>
      <c r="V87" s="631"/>
      <c r="W87" s="633"/>
      <c r="X87" s="698"/>
      <c r="Y87" s="699"/>
      <c r="Z87" s="699"/>
      <c r="AA87" s="699"/>
      <c r="AB87" s="699"/>
      <c r="AC87" s="699"/>
      <c r="AD87" s="700"/>
      <c r="AE87" s="625"/>
      <c r="AF87" s="626"/>
      <c r="AG87" s="626"/>
      <c r="AH87" s="627"/>
      <c r="AI87" s="631"/>
      <c r="AJ87" s="632"/>
      <c r="AK87" s="632"/>
      <c r="AL87" s="632"/>
      <c r="AM87" s="632"/>
      <c r="AN87" s="632"/>
      <c r="AO87" s="632"/>
      <c r="AP87" s="633"/>
    </row>
    <row r="88" spans="1:45" ht="15.75" customHeight="1" x14ac:dyDescent="0.4">
      <c r="B88" s="585"/>
      <c r="C88" s="587"/>
      <c r="D88" s="588"/>
      <c r="E88" s="589"/>
      <c r="F88" s="622"/>
      <c r="G88" s="623"/>
      <c r="H88" s="623"/>
      <c r="I88" s="624"/>
      <c r="J88" s="689"/>
      <c r="K88" s="690"/>
      <c r="L88" s="690"/>
      <c r="M88" s="690"/>
      <c r="N88" s="690"/>
      <c r="O88" s="690"/>
      <c r="P88" s="691"/>
      <c r="Q88" s="628"/>
      <c r="R88" s="630"/>
      <c r="S88" s="100"/>
      <c r="T88" s="101"/>
      <c r="U88" s="100"/>
      <c r="V88" s="628"/>
      <c r="W88" s="630"/>
      <c r="X88" s="695"/>
      <c r="Y88" s="696"/>
      <c r="Z88" s="696"/>
      <c r="AA88" s="696"/>
      <c r="AB88" s="696"/>
      <c r="AC88" s="696"/>
      <c r="AD88" s="697"/>
      <c r="AE88" s="622"/>
      <c r="AF88" s="623"/>
      <c r="AG88" s="623"/>
      <c r="AH88" s="624"/>
      <c r="AI88" s="628"/>
      <c r="AJ88" s="629"/>
      <c r="AK88" s="629"/>
      <c r="AL88" s="629"/>
      <c r="AM88" s="629"/>
      <c r="AN88" s="629"/>
      <c r="AO88" s="629"/>
      <c r="AP88" s="630"/>
    </row>
    <row r="89" spans="1:45" ht="20.25" customHeight="1" x14ac:dyDescent="0.4">
      <c r="B89" s="586"/>
      <c r="C89" s="590"/>
      <c r="D89" s="591"/>
      <c r="E89" s="592"/>
      <c r="F89" s="625"/>
      <c r="G89" s="626"/>
      <c r="H89" s="626"/>
      <c r="I89" s="627"/>
      <c r="J89" s="692"/>
      <c r="K89" s="693"/>
      <c r="L89" s="693"/>
      <c r="M89" s="693"/>
      <c r="N89" s="693"/>
      <c r="O89" s="693"/>
      <c r="P89" s="694"/>
      <c r="Q89" s="631"/>
      <c r="R89" s="633"/>
      <c r="S89" s="100"/>
      <c r="T89" s="101"/>
      <c r="U89" s="100"/>
      <c r="V89" s="631"/>
      <c r="W89" s="633"/>
      <c r="X89" s="698"/>
      <c r="Y89" s="699"/>
      <c r="Z89" s="699"/>
      <c r="AA89" s="699"/>
      <c r="AB89" s="699"/>
      <c r="AC89" s="699"/>
      <c r="AD89" s="700"/>
      <c r="AE89" s="625"/>
      <c r="AF89" s="626"/>
      <c r="AG89" s="626"/>
      <c r="AH89" s="627"/>
      <c r="AI89" s="631"/>
      <c r="AJ89" s="632"/>
      <c r="AK89" s="632"/>
      <c r="AL89" s="632"/>
      <c r="AM89" s="632"/>
      <c r="AN89" s="632"/>
      <c r="AO89" s="632"/>
      <c r="AP89" s="633"/>
    </row>
    <row r="90" spans="1:45" ht="30" customHeight="1" thickBot="1" x14ac:dyDescent="0.45">
      <c r="A90" s="102"/>
      <c r="B90" s="103"/>
      <c r="C90" s="104"/>
      <c r="D90" s="104"/>
      <c r="E90" s="104"/>
      <c r="F90" s="103"/>
      <c r="G90" s="103"/>
      <c r="H90" s="103"/>
      <c r="I90" s="103"/>
      <c r="J90" s="103"/>
      <c r="K90" s="105"/>
      <c r="L90" s="105"/>
      <c r="M90" s="106"/>
      <c r="N90" s="107"/>
      <c r="O90" s="106"/>
      <c r="P90" s="105"/>
      <c r="Q90" s="105"/>
      <c r="R90" s="103"/>
      <c r="S90" s="103"/>
      <c r="T90" s="103"/>
      <c r="U90" s="103"/>
      <c r="V90" s="103"/>
      <c r="W90" s="108"/>
      <c r="X90" s="108"/>
      <c r="Y90" s="108"/>
      <c r="Z90" s="108"/>
      <c r="AA90" s="108"/>
      <c r="AB90" s="108"/>
      <c r="AC90" s="102"/>
    </row>
    <row r="91" spans="1:45" ht="30" customHeight="1" thickBot="1" x14ac:dyDescent="0.45">
      <c r="D91" s="664" t="s">
        <v>8</v>
      </c>
      <c r="E91" s="665"/>
      <c r="F91" s="665"/>
      <c r="G91" s="665"/>
      <c r="H91" s="665"/>
      <c r="I91" s="666"/>
      <c r="J91" s="667" t="s">
        <v>5</v>
      </c>
      <c r="K91" s="665"/>
      <c r="L91" s="665"/>
      <c r="M91" s="665"/>
      <c r="N91" s="665"/>
      <c r="O91" s="665"/>
      <c r="P91" s="665"/>
      <c r="Q91" s="666"/>
      <c r="R91" s="668" t="s">
        <v>9</v>
      </c>
      <c r="S91" s="669"/>
      <c r="T91" s="669"/>
      <c r="U91" s="669"/>
      <c r="V91" s="669"/>
      <c r="W91" s="669"/>
      <c r="X91" s="669"/>
      <c r="Y91" s="669"/>
      <c r="Z91" s="670"/>
      <c r="AA91" s="609" t="s">
        <v>10</v>
      </c>
      <c r="AB91" s="610"/>
      <c r="AC91" s="671"/>
      <c r="AD91" s="609" t="s">
        <v>11</v>
      </c>
      <c r="AE91" s="610"/>
      <c r="AF91" s="610"/>
      <c r="AG91" s="610"/>
      <c r="AH91" s="610"/>
      <c r="AI91" s="610"/>
      <c r="AJ91" s="610"/>
      <c r="AK91" s="610"/>
      <c r="AL91" s="610"/>
      <c r="AM91" s="611"/>
    </row>
    <row r="92" spans="1:45" ht="30" customHeight="1" x14ac:dyDescent="0.4">
      <c r="D92" s="651" t="s">
        <v>298</v>
      </c>
      <c r="E92" s="652"/>
      <c r="F92" s="652"/>
      <c r="G92" s="652"/>
      <c r="H92" s="652"/>
      <c r="I92" s="653"/>
      <c r="J92" s="654"/>
      <c r="K92" s="652"/>
      <c r="L92" s="652"/>
      <c r="M92" s="652"/>
      <c r="N92" s="652"/>
      <c r="O92" s="652"/>
      <c r="P92" s="652"/>
      <c r="Q92" s="653"/>
      <c r="R92" s="655"/>
      <c r="S92" s="656"/>
      <c r="T92" s="656"/>
      <c r="U92" s="656"/>
      <c r="V92" s="656"/>
      <c r="W92" s="656"/>
      <c r="X92" s="656"/>
      <c r="Y92" s="656"/>
      <c r="Z92" s="657"/>
      <c r="AA92" s="658"/>
      <c r="AB92" s="659"/>
      <c r="AC92" s="660"/>
      <c r="AD92" s="661"/>
      <c r="AE92" s="662"/>
      <c r="AF92" s="662"/>
      <c r="AG92" s="662"/>
      <c r="AH92" s="662"/>
      <c r="AI92" s="662"/>
      <c r="AJ92" s="662"/>
      <c r="AK92" s="662"/>
      <c r="AL92" s="662"/>
      <c r="AM92" s="663"/>
    </row>
    <row r="93" spans="1:45" ht="19.5" x14ac:dyDescent="0.4">
      <c r="D93" s="688" t="s">
        <v>12</v>
      </c>
      <c r="E93" s="604"/>
      <c r="F93" s="604"/>
      <c r="G93" s="604"/>
      <c r="H93" s="604"/>
      <c r="I93" s="605"/>
      <c r="J93" s="603"/>
      <c r="K93" s="604"/>
      <c r="L93" s="604"/>
      <c r="M93" s="604"/>
      <c r="N93" s="604"/>
      <c r="O93" s="604"/>
      <c r="P93" s="604"/>
      <c r="Q93" s="605"/>
      <c r="R93" s="606"/>
      <c r="S93" s="607"/>
      <c r="T93" s="607"/>
      <c r="U93" s="607"/>
      <c r="V93" s="607"/>
      <c r="W93" s="607"/>
      <c r="X93" s="607"/>
      <c r="Y93" s="607"/>
      <c r="Z93" s="608"/>
      <c r="AA93" s="606"/>
      <c r="AB93" s="607"/>
      <c r="AC93" s="608"/>
      <c r="AD93" s="672"/>
      <c r="AE93" s="673"/>
      <c r="AF93" s="673"/>
      <c r="AG93" s="673"/>
      <c r="AH93" s="673"/>
      <c r="AI93" s="673"/>
      <c r="AJ93" s="673"/>
      <c r="AK93" s="673"/>
      <c r="AL93" s="673"/>
      <c r="AM93" s="674"/>
    </row>
    <row r="94" spans="1:45" ht="19.5" customHeight="1" thickBot="1" x14ac:dyDescent="0.45">
      <c r="D94" s="675" t="s">
        <v>12</v>
      </c>
      <c r="E94" s="676"/>
      <c r="F94" s="676"/>
      <c r="G94" s="676"/>
      <c r="H94" s="676"/>
      <c r="I94" s="677"/>
      <c r="J94" s="678"/>
      <c r="K94" s="676"/>
      <c r="L94" s="676"/>
      <c r="M94" s="676"/>
      <c r="N94" s="676"/>
      <c r="O94" s="676"/>
      <c r="P94" s="676"/>
      <c r="Q94" s="677"/>
      <c r="R94" s="679"/>
      <c r="S94" s="680"/>
      <c r="T94" s="680"/>
      <c r="U94" s="680"/>
      <c r="V94" s="680"/>
      <c r="W94" s="680"/>
      <c r="X94" s="680"/>
      <c r="Y94" s="680"/>
      <c r="Z94" s="681"/>
      <c r="AA94" s="682"/>
      <c r="AB94" s="683"/>
      <c r="AC94" s="684"/>
      <c r="AD94" s="685"/>
      <c r="AE94" s="686"/>
      <c r="AF94" s="686"/>
      <c r="AG94" s="686"/>
      <c r="AH94" s="686"/>
      <c r="AI94" s="686"/>
      <c r="AJ94" s="686"/>
      <c r="AK94" s="686"/>
      <c r="AL94" s="686"/>
      <c r="AM94" s="687"/>
    </row>
    <row r="95" spans="1:45" ht="7.5" customHeight="1" x14ac:dyDescent="0.4"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5"/>
      <c r="S95" s="105"/>
      <c r="T95" s="105"/>
      <c r="U95" s="105"/>
      <c r="V95" s="105"/>
      <c r="W95" s="105"/>
      <c r="X95" s="105"/>
      <c r="Y95" s="105"/>
      <c r="Z95" s="105"/>
      <c r="AA95" s="107"/>
      <c r="AB95" s="107"/>
      <c r="AC95" s="107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</row>
    <row r="96" spans="1:45" ht="27.75" customHeight="1" x14ac:dyDescent="0.4">
      <c r="A96" s="115"/>
      <c r="B96" s="599" t="str">
        <f>U12組合せ!$B$1</f>
        <v>ＪＦＡ　Ｕ-１２サッカーリーグ2021（in栃木） 宇都宮地区リーグ戦（前期）</v>
      </c>
      <c r="C96" s="599"/>
      <c r="D96" s="599"/>
      <c r="E96" s="599"/>
      <c r="F96" s="599"/>
      <c r="G96" s="599"/>
      <c r="H96" s="599"/>
      <c r="I96" s="599"/>
      <c r="J96" s="599"/>
      <c r="K96" s="599"/>
      <c r="L96" s="599"/>
      <c r="M96" s="599"/>
      <c r="N96" s="599"/>
      <c r="O96" s="599"/>
      <c r="P96" s="599"/>
      <c r="Q96" s="599"/>
      <c r="R96" s="599"/>
      <c r="S96" s="599"/>
      <c r="T96" s="599"/>
      <c r="U96" s="599"/>
      <c r="V96" s="599"/>
      <c r="W96" s="599"/>
      <c r="X96" s="599"/>
      <c r="Y96" s="599"/>
      <c r="Z96" s="599"/>
      <c r="AA96" s="599"/>
      <c r="AB96" s="599"/>
      <c r="AC96" s="612" t="str">
        <f>"【"&amp;(U12組合せ!$H$3)&amp;"】"</f>
        <v>【Ｃ ブロック】</v>
      </c>
      <c r="AD96" s="612"/>
      <c r="AE96" s="612"/>
      <c r="AF96" s="612"/>
      <c r="AG96" s="612"/>
      <c r="AH96" s="612"/>
      <c r="AI96" s="612"/>
      <c r="AJ96" s="612"/>
      <c r="AK96" s="602" t="str">
        <f>"第"&amp;(U12組合せ!$D$27)</f>
        <v>第２節</v>
      </c>
      <c r="AL96" s="602"/>
      <c r="AM96" s="602"/>
      <c r="AN96" s="602"/>
      <c r="AO96" s="602"/>
      <c r="AP96" s="597" t="s">
        <v>331</v>
      </c>
      <c r="AQ96" s="598"/>
    </row>
    <row r="97" spans="1:46" ht="15" customHeight="1" x14ac:dyDescent="0.4">
      <c r="A97" s="115"/>
      <c r="B97" s="599"/>
      <c r="C97" s="599"/>
      <c r="D97" s="599"/>
      <c r="E97" s="599"/>
      <c r="F97" s="599"/>
      <c r="G97" s="599"/>
      <c r="H97" s="599"/>
      <c r="I97" s="599"/>
      <c r="J97" s="599"/>
      <c r="K97" s="599"/>
      <c r="L97" s="599"/>
      <c r="M97" s="599"/>
      <c r="N97" s="599"/>
      <c r="O97" s="599"/>
      <c r="P97" s="599"/>
      <c r="Q97" s="599"/>
      <c r="R97" s="599"/>
      <c r="S97" s="599"/>
      <c r="T97" s="599"/>
      <c r="U97" s="599"/>
      <c r="V97" s="599"/>
      <c r="W97" s="599"/>
      <c r="X97" s="599"/>
      <c r="Y97" s="599"/>
      <c r="Z97" s="599"/>
      <c r="AA97" s="599"/>
      <c r="AB97" s="599"/>
      <c r="AC97" s="601"/>
      <c r="AD97" s="601"/>
      <c r="AE97" s="601"/>
      <c r="AF97" s="601"/>
      <c r="AG97" s="601"/>
      <c r="AH97" s="601"/>
      <c r="AI97" s="601"/>
      <c r="AJ97" s="601"/>
      <c r="AK97" s="601"/>
      <c r="AL97" s="601"/>
      <c r="AM97" s="601"/>
      <c r="AN97" s="601"/>
      <c r="AO97" s="612"/>
      <c r="AP97" s="598"/>
      <c r="AQ97" s="598"/>
    </row>
    <row r="98" spans="1:46" ht="29.25" customHeight="1" x14ac:dyDescent="0.4">
      <c r="C98" s="635" t="s">
        <v>1</v>
      </c>
      <c r="D98" s="635"/>
      <c r="E98" s="635"/>
      <c r="F98" s="635"/>
      <c r="G98" s="725" t="str">
        <f>U12対戦スケジュール!O30</f>
        <v>平出北 PM</v>
      </c>
      <c r="H98" s="726"/>
      <c r="I98" s="726"/>
      <c r="J98" s="726"/>
      <c r="K98" s="726"/>
      <c r="L98" s="726"/>
      <c r="M98" s="726"/>
      <c r="N98" s="726"/>
      <c r="O98" s="727"/>
      <c r="P98" s="635" t="s">
        <v>0</v>
      </c>
      <c r="Q98" s="635"/>
      <c r="R98" s="635"/>
      <c r="S98" s="635"/>
      <c r="T98" s="725" t="str">
        <f>AG102</f>
        <v>みはらSC jr</v>
      </c>
      <c r="U98" s="726"/>
      <c r="V98" s="726"/>
      <c r="W98" s="726"/>
      <c r="X98" s="726"/>
      <c r="Y98" s="726"/>
      <c r="Z98" s="726"/>
      <c r="AA98" s="726"/>
      <c r="AB98" s="727"/>
      <c r="AC98" s="635" t="s">
        <v>2</v>
      </c>
      <c r="AD98" s="635"/>
      <c r="AE98" s="635"/>
      <c r="AF98" s="635"/>
      <c r="AG98" s="618">
        <f>U12組合せ!B$27</f>
        <v>44310</v>
      </c>
      <c r="AH98" s="619"/>
      <c r="AI98" s="619"/>
      <c r="AJ98" s="619"/>
      <c r="AK98" s="619"/>
      <c r="AL98" s="619"/>
      <c r="AM98" s="620" t="str">
        <f>"（"&amp;TEXT(AG98,"aaa")&amp;"）"</f>
        <v>（土）</v>
      </c>
      <c r="AN98" s="620"/>
      <c r="AO98" s="621"/>
      <c r="AP98" s="116"/>
      <c r="AR98" s="96">
        <f>108/2</f>
        <v>54</v>
      </c>
    </row>
    <row r="99" spans="1:46" ht="17.25" customHeight="1" x14ac:dyDescent="0.4">
      <c r="C99" s="96" t="str">
        <f>U12対戦スケジュール!O29</f>
        <v>C159</v>
      </c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95"/>
      <c r="X99" s="95"/>
      <c r="Y99" s="95"/>
      <c r="Z99" s="95"/>
      <c r="AA99" s="95"/>
      <c r="AB99" s="95"/>
      <c r="AC99" s="95"/>
      <c r="AR99" s="96">
        <v>32</v>
      </c>
    </row>
    <row r="100" spans="1:46" s="134" customFormat="1" ht="30.75" customHeight="1" x14ac:dyDescent="0.4">
      <c r="A100" s="96"/>
      <c r="B100" s="96"/>
      <c r="C100" s="636">
        <v>1</v>
      </c>
      <c r="D100" s="636"/>
      <c r="E100" s="709" t="str">
        <f>VLOOKUP(C100,U12組合せ!B$10:K$19,7,TRUE)</f>
        <v>FCアリーバ</v>
      </c>
      <c r="F100" s="709"/>
      <c r="G100" s="709"/>
      <c r="H100" s="709"/>
      <c r="I100" s="709"/>
      <c r="J100" s="709"/>
      <c r="K100" s="709"/>
      <c r="L100" s="709"/>
      <c r="M100" s="709"/>
      <c r="N100" s="709"/>
      <c r="O100" s="94"/>
      <c r="P100" s="94"/>
      <c r="Q100" s="637">
        <v>4</v>
      </c>
      <c r="R100" s="637"/>
      <c r="S100" s="584" t="str">
        <f>VLOOKUP(Q100,U12組合せ!B$10:K$19,7,TRUE)</f>
        <v>ともぞうSC　U11</v>
      </c>
      <c r="T100" s="584"/>
      <c r="U100" s="584"/>
      <c r="V100" s="584"/>
      <c r="W100" s="584"/>
      <c r="X100" s="584"/>
      <c r="Y100" s="584"/>
      <c r="Z100" s="584"/>
      <c r="AA100" s="584"/>
      <c r="AB100" s="584"/>
      <c r="AC100" s="111"/>
      <c r="AD100" s="93"/>
      <c r="AE100" s="637">
        <v>7</v>
      </c>
      <c r="AF100" s="637"/>
      <c r="AG100" s="584" t="str">
        <f>VLOOKUP(AE100,U12組合せ!B$10:'U12組合せ'!K$19,7,TRUE)</f>
        <v>雀宮FC</v>
      </c>
      <c r="AH100" s="584"/>
      <c r="AI100" s="584"/>
      <c r="AJ100" s="584"/>
      <c r="AK100" s="584"/>
      <c r="AL100" s="584"/>
      <c r="AM100" s="584"/>
      <c r="AN100" s="584"/>
      <c r="AO100" s="584"/>
      <c r="AP100" s="584"/>
      <c r="AR100" s="134">
        <f>AR98-AR99</f>
        <v>22</v>
      </c>
      <c r="AT100" s="135"/>
    </row>
    <row r="101" spans="1:46" s="134" customFormat="1" ht="30.75" customHeight="1" x14ac:dyDescent="0.4">
      <c r="C101" s="637">
        <v>2</v>
      </c>
      <c r="D101" s="637"/>
      <c r="E101" s="584" t="str">
        <f>VLOOKUP(C101,U12組合せ!B$10:K$19,7,TRUE)</f>
        <v>カテット白沢SS</v>
      </c>
      <c r="F101" s="584"/>
      <c r="G101" s="584"/>
      <c r="H101" s="584"/>
      <c r="I101" s="584"/>
      <c r="J101" s="584"/>
      <c r="K101" s="584"/>
      <c r="L101" s="584"/>
      <c r="M101" s="584"/>
      <c r="N101" s="584"/>
      <c r="O101" s="94"/>
      <c r="P101" s="94"/>
      <c r="Q101" s="636">
        <v>5</v>
      </c>
      <c r="R101" s="636"/>
      <c r="S101" s="709" t="str">
        <f>VLOOKUP(Q101,U12組合せ!B$10:K$19,7,TRUE)</f>
        <v>豊郷JFC宇都宮U-12</v>
      </c>
      <c r="T101" s="709"/>
      <c r="U101" s="709"/>
      <c r="V101" s="709"/>
      <c r="W101" s="709"/>
      <c r="X101" s="709"/>
      <c r="Y101" s="709"/>
      <c r="Z101" s="709"/>
      <c r="AA101" s="709"/>
      <c r="AB101" s="709"/>
      <c r="AC101" s="111"/>
      <c r="AD101" s="93"/>
      <c r="AE101" s="637">
        <v>8</v>
      </c>
      <c r="AF101" s="637"/>
      <c r="AG101" s="584" t="str">
        <f>VLOOKUP(AE101,U12組合せ!B$10:'U12組合せ'!K$19,7,TRUE)</f>
        <v>FCみらいP</v>
      </c>
      <c r="AH101" s="584"/>
      <c r="AI101" s="584"/>
      <c r="AJ101" s="584"/>
      <c r="AK101" s="584"/>
      <c r="AL101" s="584"/>
      <c r="AM101" s="584"/>
      <c r="AN101" s="584"/>
      <c r="AO101" s="584"/>
      <c r="AP101" s="584"/>
      <c r="AT101" s="135"/>
    </row>
    <row r="102" spans="1:46" s="134" customFormat="1" ht="30.75" customHeight="1" x14ac:dyDescent="0.4">
      <c r="C102" s="637">
        <v>3</v>
      </c>
      <c r="D102" s="637"/>
      <c r="E102" s="584" t="str">
        <f>VLOOKUP(C102,U12組合せ!B$10:K$19,7,TRUE)</f>
        <v>リフレSCチェルビアット</v>
      </c>
      <c r="F102" s="584"/>
      <c r="G102" s="584"/>
      <c r="H102" s="584"/>
      <c r="I102" s="584"/>
      <c r="J102" s="584"/>
      <c r="K102" s="584"/>
      <c r="L102" s="584"/>
      <c r="M102" s="584"/>
      <c r="N102" s="584"/>
      <c r="O102" s="94"/>
      <c r="P102" s="94"/>
      <c r="Q102" s="637">
        <v>6</v>
      </c>
      <c r="R102" s="637"/>
      <c r="S102" s="584" t="str">
        <f>VLOOKUP(Q102,U12組合せ!B$10:K$19,7,TRUE)</f>
        <v>シャルムグランツSC</v>
      </c>
      <c r="T102" s="584"/>
      <c r="U102" s="584"/>
      <c r="V102" s="584"/>
      <c r="W102" s="584"/>
      <c r="X102" s="584"/>
      <c r="Y102" s="584"/>
      <c r="Z102" s="584"/>
      <c r="AA102" s="584"/>
      <c r="AB102" s="584"/>
      <c r="AC102" s="111"/>
      <c r="AD102" s="93"/>
      <c r="AE102" s="636">
        <v>9</v>
      </c>
      <c r="AF102" s="636"/>
      <c r="AG102" s="709" t="str">
        <f>VLOOKUP(AE102,U12組合せ!B$10:'U12組合せ'!K$19,7,TRUE)</f>
        <v>みはらSC jr</v>
      </c>
      <c r="AH102" s="709"/>
      <c r="AI102" s="709"/>
      <c r="AJ102" s="709"/>
      <c r="AK102" s="709"/>
      <c r="AL102" s="709"/>
      <c r="AM102" s="709"/>
      <c r="AN102" s="709"/>
      <c r="AO102" s="709"/>
      <c r="AP102" s="709"/>
      <c r="AT102" s="135"/>
    </row>
    <row r="103" spans="1:46" ht="12" customHeight="1" x14ac:dyDescent="0.4">
      <c r="C103" s="121"/>
      <c r="D103" s="121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94"/>
      <c r="P103" s="94"/>
      <c r="Q103" s="123"/>
      <c r="R103" s="123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92"/>
      <c r="AD103" s="93"/>
      <c r="AE103" s="123"/>
      <c r="AF103" s="123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</row>
    <row r="104" spans="1:46" ht="12" customHeight="1" x14ac:dyDescent="0.4">
      <c r="B104" s="102"/>
      <c r="O104" s="102"/>
      <c r="P104" s="102"/>
      <c r="AC104" s="95"/>
      <c r="AD104" s="102"/>
      <c r="AE104" s="102"/>
      <c r="AF104" s="102"/>
      <c r="AG104" s="102"/>
    </row>
    <row r="105" spans="1:46" ht="12" customHeight="1" x14ac:dyDescent="0.4">
      <c r="C105" s="117"/>
      <c r="D105" s="118"/>
      <c r="E105" s="118"/>
      <c r="F105" s="118"/>
      <c r="G105" s="118"/>
      <c r="H105" s="118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18"/>
      <c r="U105" s="102"/>
      <c r="V105" s="118"/>
      <c r="W105" s="102"/>
      <c r="X105" s="118"/>
      <c r="Y105" s="102"/>
      <c r="Z105" s="118"/>
      <c r="AA105" s="102"/>
      <c r="AB105" s="118"/>
      <c r="AC105" s="118"/>
    </row>
    <row r="106" spans="1:46" ht="21.75" customHeight="1" x14ac:dyDescent="0.4">
      <c r="B106" s="118" t="str">
        <f ca="1">IF(B108="①","【監督会議 8：20～】","【監督会議 12：50～】")</f>
        <v>【監督会議 12：50～】</v>
      </c>
      <c r="I106" s="96" t="s">
        <v>330</v>
      </c>
    </row>
    <row r="107" spans="1:46" ht="19.5" customHeight="1" x14ac:dyDescent="0.4">
      <c r="B107" s="97"/>
      <c r="C107" s="711" t="s">
        <v>3</v>
      </c>
      <c r="D107" s="711"/>
      <c r="E107" s="711"/>
      <c r="F107" s="712" t="s">
        <v>4</v>
      </c>
      <c r="G107" s="712"/>
      <c r="H107" s="712"/>
      <c r="I107" s="712"/>
      <c r="J107" s="711" t="s">
        <v>5</v>
      </c>
      <c r="K107" s="713"/>
      <c r="L107" s="713"/>
      <c r="M107" s="713"/>
      <c r="N107" s="713"/>
      <c r="O107" s="713"/>
      <c r="P107" s="713"/>
      <c r="Q107" s="711" t="s">
        <v>32</v>
      </c>
      <c r="R107" s="711"/>
      <c r="S107" s="711"/>
      <c r="T107" s="711"/>
      <c r="U107" s="711"/>
      <c r="V107" s="711"/>
      <c r="W107" s="711"/>
      <c r="X107" s="711" t="s">
        <v>5</v>
      </c>
      <c r="Y107" s="713"/>
      <c r="Z107" s="713"/>
      <c r="AA107" s="713"/>
      <c r="AB107" s="713"/>
      <c r="AC107" s="713"/>
      <c r="AD107" s="713"/>
      <c r="AE107" s="712" t="s">
        <v>4</v>
      </c>
      <c r="AF107" s="712"/>
      <c r="AG107" s="712"/>
      <c r="AH107" s="712"/>
      <c r="AI107" s="711" t="s">
        <v>6</v>
      </c>
      <c r="AJ107" s="711"/>
      <c r="AK107" s="713"/>
      <c r="AL107" s="713"/>
      <c r="AM107" s="713"/>
      <c r="AN107" s="713"/>
      <c r="AO107" s="713"/>
      <c r="AP107" s="713"/>
    </row>
    <row r="108" spans="1:46" ht="19.5" customHeight="1" x14ac:dyDescent="0.4">
      <c r="B108" s="644" t="str">
        <f ca="1">DBCS(INDIRECT("U12対戦スケジュール!m"&amp;(ROW())/2-AR$100))</f>
        <v>④</v>
      </c>
      <c r="C108" s="645">
        <f ca="1">INDIRECT("U12対戦スケジュール!n"&amp;(ROW())/2-AR$100)</f>
        <v>0.5625</v>
      </c>
      <c r="D108" s="646"/>
      <c r="E108" s="647"/>
      <c r="F108" s="583"/>
      <c r="G108" s="583"/>
      <c r="H108" s="583"/>
      <c r="I108" s="583"/>
      <c r="J108" s="746" t="str">
        <f ca="1">VLOOKUP(AR108,U12組合せ!B$10:K$19,7,TRUE)</f>
        <v>FCアリーバ</v>
      </c>
      <c r="K108" s="747"/>
      <c r="L108" s="747"/>
      <c r="M108" s="747"/>
      <c r="N108" s="747"/>
      <c r="O108" s="747"/>
      <c r="P108" s="747"/>
      <c r="Q108" s="628">
        <f>IF(OR(S108="",S109=""),"",S108+S109)</f>
        <v>4</v>
      </c>
      <c r="R108" s="630"/>
      <c r="S108" s="100">
        <v>2</v>
      </c>
      <c r="T108" s="101" t="s">
        <v>7</v>
      </c>
      <c r="U108" s="100">
        <v>0</v>
      </c>
      <c r="V108" s="628">
        <f>IF(OR(U108="",U109=""),"",U108+U109)</f>
        <v>0</v>
      </c>
      <c r="W108" s="630"/>
      <c r="X108" s="746" t="str">
        <f ca="1">VLOOKUP(AS108,U12組合せ!B$10:K$19,7,TRUE)</f>
        <v>豊郷JFC宇都宮U-12</v>
      </c>
      <c r="Y108" s="747"/>
      <c r="Z108" s="747"/>
      <c r="AA108" s="747"/>
      <c r="AB108" s="747"/>
      <c r="AC108" s="747"/>
      <c r="AD108" s="747"/>
      <c r="AE108" s="583"/>
      <c r="AF108" s="583"/>
      <c r="AG108" s="583"/>
      <c r="AH108" s="583"/>
      <c r="AI108" s="758" t="str">
        <f ca="1">DBCS(INDIRECT("U12対戦スケジュール!r"&amp;(ROW())/2-AR$100))</f>
        <v>９／１／５／９</v>
      </c>
      <c r="AJ108" s="759"/>
      <c r="AK108" s="759"/>
      <c r="AL108" s="759"/>
      <c r="AM108" s="759"/>
      <c r="AN108" s="759"/>
      <c r="AO108" s="759"/>
      <c r="AP108" s="760"/>
      <c r="AR108" s="119">
        <f ca="1">INDIRECT("U12対戦スケジュール!o"&amp;(ROW())/2-AR$100)</f>
        <v>1</v>
      </c>
      <c r="AS108" s="119">
        <f ca="1">INDIRECT("U12対戦スケジュール!q"&amp;(ROW())/2-AR$100)</f>
        <v>5</v>
      </c>
    </row>
    <row r="109" spans="1:46" ht="19.5" customHeight="1" x14ac:dyDescent="0.4">
      <c r="B109" s="644"/>
      <c r="C109" s="648"/>
      <c r="D109" s="649"/>
      <c r="E109" s="650"/>
      <c r="F109" s="583"/>
      <c r="G109" s="583"/>
      <c r="H109" s="583"/>
      <c r="I109" s="583"/>
      <c r="J109" s="747"/>
      <c r="K109" s="747"/>
      <c r="L109" s="747"/>
      <c r="M109" s="747"/>
      <c r="N109" s="747"/>
      <c r="O109" s="747"/>
      <c r="P109" s="747"/>
      <c r="Q109" s="631"/>
      <c r="R109" s="633"/>
      <c r="S109" s="100">
        <v>2</v>
      </c>
      <c r="T109" s="101" t="s">
        <v>7</v>
      </c>
      <c r="U109" s="100">
        <v>0</v>
      </c>
      <c r="V109" s="631"/>
      <c r="W109" s="633"/>
      <c r="X109" s="747"/>
      <c r="Y109" s="747"/>
      <c r="Z109" s="747"/>
      <c r="AA109" s="747"/>
      <c r="AB109" s="747"/>
      <c r="AC109" s="747"/>
      <c r="AD109" s="747"/>
      <c r="AE109" s="583"/>
      <c r="AF109" s="583"/>
      <c r="AG109" s="583"/>
      <c r="AH109" s="583"/>
      <c r="AI109" s="761"/>
      <c r="AJ109" s="762"/>
      <c r="AK109" s="762"/>
      <c r="AL109" s="762"/>
      <c r="AM109" s="762"/>
      <c r="AN109" s="762"/>
      <c r="AO109" s="762"/>
      <c r="AP109" s="763"/>
      <c r="AR109" s="119"/>
      <c r="AS109" s="119"/>
    </row>
    <row r="110" spans="1:46" ht="19.5" customHeight="1" x14ac:dyDescent="0.4">
      <c r="B110" s="644" t="str">
        <f ca="1">DBCS(INDIRECT("U12対戦スケジュール!m"&amp;(ROW())/2-AR$100))</f>
        <v>⑤</v>
      </c>
      <c r="C110" s="645">
        <f t="shared" ref="C110" ca="1" si="0">INDIRECT("U12対戦スケジュール!n"&amp;(ROW())/2-AR$100)</f>
        <v>0.60450000000000004</v>
      </c>
      <c r="D110" s="646"/>
      <c r="E110" s="647"/>
      <c r="F110" s="583"/>
      <c r="G110" s="583"/>
      <c r="H110" s="583"/>
      <c r="I110" s="583"/>
      <c r="J110" s="746" t="str">
        <f ca="1">VLOOKUP(AR110,U12組合せ!B$10:K$19,7,TRUE)</f>
        <v>みはらSC jr</v>
      </c>
      <c r="K110" s="747"/>
      <c r="L110" s="747"/>
      <c r="M110" s="747"/>
      <c r="N110" s="747"/>
      <c r="O110" s="747"/>
      <c r="P110" s="747"/>
      <c r="Q110" s="634">
        <f>IF(OR(S110="",S111=""),"",S110+S111)</f>
        <v>1</v>
      </c>
      <c r="R110" s="634"/>
      <c r="S110" s="100">
        <v>1</v>
      </c>
      <c r="T110" s="101" t="s">
        <v>7</v>
      </c>
      <c r="U110" s="100">
        <v>2</v>
      </c>
      <c r="V110" s="634">
        <f>IF(OR(U110="",U111=""),"",U110+U111)</f>
        <v>3</v>
      </c>
      <c r="W110" s="634"/>
      <c r="X110" s="746" t="str">
        <f ca="1">VLOOKUP(AS110,U12組合せ!B$10:K$19,7,TRUE)</f>
        <v>豊郷JFC宇都宮U-12</v>
      </c>
      <c r="Y110" s="747"/>
      <c r="Z110" s="747"/>
      <c r="AA110" s="747"/>
      <c r="AB110" s="747"/>
      <c r="AC110" s="747"/>
      <c r="AD110" s="747"/>
      <c r="AE110" s="583"/>
      <c r="AF110" s="583"/>
      <c r="AG110" s="583"/>
      <c r="AH110" s="583"/>
      <c r="AI110" s="758" t="str">
        <f ca="1">DBCS(INDIRECT("U12対戦スケジュール!r"&amp;(ROW())/2-AR$100))</f>
        <v>１／５／９／１</v>
      </c>
      <c r="AJ110" s="759"/>
      <c r="AK110" s="759"/>
      <c r="AL110" s="759"/>
      <c r="AM110" s="759"/>
      <c r="AN110" s="759"/>
      <c r="AO110" s="759"/>
      <c r="AP110" s="760"/>
      <c r="AR110" s="119">
        <f ca="1">INDIRECT("U12対戦スケジュール!o"&amp;(ROW())/2-AR$100)</f>
        <v>9</v>
      </c>
      <c r="AS110" s="119">
        <f ca="1">INDIRECT("U12対戦スケジュール!q"&amp;(ROW())/2-AR$100)</f>
        <v>5</v>
      </c>
    </row>
    <row r="111" spans="1:46" ht="19.5" customHeight="1" x14ac:dyDescent="0.4">
      <c r="B111" s="644"/>
      <c r="C111" s="648"/>
      <c r="D111" s="649"/>
      <c r="E111" s="650"/>
      <c r="F111" s="583"/>
      <c r="G111" s="583"/>
      <c r="H111" s="583"/>
      <c r="I111" s="583"/>
      <c r="J111" s="747"/>
      <c r="K111" s="747"/>
      <c r="L111" s="747"/>
      <c r="M111" s="747"/>
      <c r="N111" s="747"/>
      <c r="O111" s="747"/>
      <c r="P111" s="747"/>
      <c r="Q111" s="634"/>
      <c r="R111" s="634"/>
      <c r="S111" s="100">
        <v>0</v>
      </c>
      <c r="T111" s="101" t="s">
        <v>7</v>
      </c>
      <c r="U111" s="100">
        <v>1</v>
      </c>
      <c r="V111" s="634"/>
      <c r="W111" s="634"/>
      <c r="X111" s="747"/>
      <c r="Y111" s="747"/>
      <c r="Z111" s="747"/>
      <c r="AA111" s="747"/>
      <c r="AB111" s="747"/>
      <c r="AC111" s="747"/>
      <c r="AD111" s="747"/>
      <c r="AE111" s="583"/>
      <c r="AF111" s="583"/>
      <c r="AG111" s="583"/>
      <c r="AH111" s="583"/>
      <c r="AI111" s="761"/>
      <c r="AJ111" s="762"/>
      <c r="AK111" s="762"/>
      <c r="AL111" s="762"/>
      <c r="AM111" s="762"/>
      <c r="AN111" s="762"/>
      <c r="AO111" s="762"/>
      <c r="AP111" s="763"/>
      <c r="AR111" s="119"/>
      <c r="AS111" s="119"/>
    </row>
    <row r="112" spans="1:46" ht="19.5" customHeight="1" x14ac:dyDescent="0.4">
      <c r="B112" s="644" t="str">
        <f ca="1">DBCS(INDIRECT("U12対戦スケジュール!m"&amp;(ROW())/2-AR$100))</f>
        <v>⑥</v>
      </c>
      <c r="C112" s="645">
        <f t="shared" ref="C112" ca="1" si="1">INDIRECT("U12対戦スケジュール!n"&amp;(ROW())/2-AR$100)</f>
        <v>0.64650000000000007</v>
      </c>
      <c r="D112" s="646"/>
      <c r="E112" s="647"/>
      <c r="F112" s="583"/>
      <c r="G112" s="583"/>
      <c r="H112" s="583"/>
      <c r="I112" s="583"/>
      <c r="J112" s="746" t="str">
        <f ca="1">VLOOKUP(AR112,U12組合せ!B$10:K$19,7,TRUE)</f>
        <v>みはらSC jr</v>
      </c>
      <c r="K112" s="747"/>
      <c r="L112" s="747"/>
      <c r="M112" s="747"/>
      <c r="N112" s="747"/>
      <c r="O112" s="747"/>
      <c r="P112" s="747"/>
      <c r="Q112" s="634">
        <f>IF(OR(S112="",S113=""),"",S112+S113)</f>
        <v>1</v>
      </c>
      <c r="R112" s="634"/>
      <c r="S112" s="100">
        <v>1</v>
      </c>
      <c r="T112" s="101" t="s">
        <v>7</v>
      </c>
      <c r="U112" s="100">
        <v>2</v>
      </c>
      <c r="V112" s="634">
        <f>IF(OR(U112="",U113=""),"",U112+U113)</f>
        <v>3</v>
      </c>
      <c r="W112" s="634"/>
      <c r="X112" s="746" t="str">
        <f ca="1">VLOOKUP(AS112,U12組合せ!B$10:K$19,7,TRUE)</f>
        <v>FCアリーバ</v>
      </c>
      <c r="Y112" s="747"/>
      <c r="Z112" s="747"/>
      <c r="AA112" s="747"/>
      <c r="AB112" s="747"/>
      <c r="AC112" s="747"/>
      <c r="AD112" s="747"/>
      <c r="AE112" s="583"/>
      <c r="AF112" s="583"/>
      <c r="AG112" s="583"/>
      <c r="AH112" s="583"/>
      <c r="AI112" s="758" t="str">
        <f ca="1">DBCS(INDIRECT("U12対戦スケジュール!r"&amp;(ROW())/2-AR$100))</f>
        <v>５／９／１／５</v>
      </c>
      <c r="AJ112" s="759"/>
      <c r="AK112" s="759"/>
      <c r="AL112" s="759"/>
      <c r="AM112" s="759"/>
      <c r="AN112" s="759"/>
      <c r="AO112" s="759"/>
      <c r="AP112" s="760"/>
      <c r="AR112" s="119">
        <f ca="1">INDIRECT("U12対戦スケジュール!o"&amp;(ROW())/2-AR$100)</f>
        <v>9</v>
      </c>
      <c r="AS112" s="119">
        <f ca="1">INDIRECT("U12対戦スケジュール!q"&amp;(ROW())/2-AR$100)</f>
        <v>1</v>
      </c>
    </row>
    <row r="113" spans="1:45" ht="19.5" customHeight="1" x14ac:dyDescent="0.4">
      <c r="B113" s="644"/>
      <c r="C113" s="648"/>
      <c r="D113" s="649"/>
      <c r="E113" s="650"/>
      <c r="F113" s="583"/>
      <c r="G113" s="583"/>
      <c r="H113" s="583"/>
      <c r="I113" s="583"/>
      <c r="J113" s="747"/>
      <c r="K113" s="747"/>
      <c r="L113" s="747"/>
      <c r="M113" s="747"/>
      <c r="N113" s="747"/>
      <c r="O113" s="747"/>
      <c r="P113" s="747"/>
      <c r="Q113" s="634"/>
      <c r="R113" s="634"/>
      <c r="S113" s="100">
        <v>0</v>
      </c>
      <c r="T113" s="101" t="s">
        <v>7</v>
      </c>
      <c r="U113" s="100">
        <v>1</v>
      </c>
      <c r="V113" s="634"/>
      <c r="W113" s="634"/>
      <c r="X113" s="747"/>
      <c r="Y113" s="747"/>
      <c r="Z113" s="747"/>
      <c r="AA113" s="747"/>
      <c r="AB113" s="747"/>
      <c r="AC113" s="747"/>
      <c r="AD113" s="747"/>
      <c r="AE113" s="583"/>
      <c r="AF113" s="583"/>
      <c r="AG113" s="583"/>
      <c r="AH113" s="583"/>
      <c r="AI113" s="761"/>
      <c r="AJ113" s="762"/>
      <c r="AK113" s="762"/>
      <c r="AL113" s="762"/>
      <c r="AM113" s="762"/>
      <c r="AN113" s="762"/>
      <c r="AO113" s="762"/>
      <c r="AP113" s="763"/>
      <c r="AR113" s="119"/>
      <c r="AS113" s="119"/>
    </row>
    <row r="114" spans="1:45" ht="19.5" customHeight="1" x14ac:dyDescent="0.4">
      <c r="B114" s="586"/>
      <c r="C114" s="739"/>
      <c r="D114" s="740"/>
      <c r="E114" s="741"/>
      <c r="F114" s="704"/>
      <c r="G114" s="704"/>
      <c r="H114" s="704"/>
      <c r="I114" s="704"/>
      <c r="J114" s="701"/>
      <c r="K114" s="702"/>
      <c r="L114" s="702"/>
      <c r="M114" s="702"/>
      <c r="N114" s="702"/>
      <c r="O114" s="702"/>
      <c r="P114" s="702"/>
      <c r="Q114" s="705"/>
      <c r="R114" s="705"/>
      <c r="S114" s="109"/>
      <c r="T114" s="110"/>
      <c r="U114" s="109"/>
      <c r="V114" s="705"/>
      <c r="W114" s="705"/>
      <c r="X114" s="701"/>
      <c r="Y114" s="702"/>
      <c r="Z114" s="702"/>
      <c r="AA114" s="702"/>
      <c r="AB114" s="702"/>
      <c r="AC114" s="702"/>
      <c r="AD114" s="702"/>
      <c r="AE114" s="704"/>
      <c r="AF114" s="704"/>
      <c r="AG114" s="704"/>
      <c r="AH114" s="704"/>
      <c r="AI114" s="706"/>
      <c r="AJ114" s="707"/>
      <c r="AK114" s="707"/>
      <c r="AL114" s="707"/>
      <c r="AM114" s="707"/>
      <c r="AN114" s="707"/>
      <c r="AO114" s="707"/>
      <c r="AP114" s="707"/>
      <c r="AR114" s="119"/>
      <c r="AS114" s="119"/>
    </row>
    <row r="115" spans="1:45" ht="19.5" customHeight="1" x14ac:dyDescent="0.4">
      <c r="B115" s="644"/>
      <c r="C115" s="648"/>
      <c r="D115" s="649"/>
      <c r="E115" s="650"/>
      <c r="F115" s="583"/>
      <c r="G115" s="583"/>
      <c r="H115" s="583"/>
      <c r="I115" s="583"/>
      <c r="J115" s="703"/>
      <c r="K115" s="703"/>
      <c r="L115" s="703"/>
      <c r="M115" s="703"/>
      <c r="N115" s="703"/>
      <c r="O115" s="703"/>
      <c r="P115" s="703"/>
      <c r="Q115" s="634"/>
      <c r="R115" s="634"/>
      <c r="S115" s="100"/>
      <c r="T115" s="101"/>
      <c r="U115" s="100"/>
      <c r="V115" s="634"/>
      <c r="W115" s="634"/>
      <c r="X115" s="703"/>
      <c r="Y115" s="703"/>
      <c r="Z115" s="703"/>
      <c r="AA115" s="703"/>
      <c r="AB115" s="703"/>
      <c r="AC115" s="703"/>
      <c r="AD115" s="703"/>
      <c r="AE115" s="583"/>
      <c r="AF115" s="583"/>
      <c r="AG115" s="583"/>
      <c r="AH115" s="583"/>
      <c r="AI115" s="708"/>
      <c r="AJ115" s="708"/>
      <c r="AK115" s="708"/>
      <c r="AL115" s="708"/>
      <c r="AM115" s="708"/>
      <c r="AN115" s="708"/>
      <c r="AO115" s="708"/>
      <c r="AP115" s="708"/>
      <c r="AR115" s="119"/>
      <c r="AS115" s="119"/>
    </row>
    <row r="116" spans="1:45" ht="19.5" customHeight="1" x14ac:dyDescent="0.4">
      <c r="B116" s="585"/>
      <c r="C116" s="587"/>
      <c r="D116" s="588"/>
      <c r="E116" s="589"/>
      <c r="F116" s="622"/>
      <c r="G116" s="623"/>
      <c r="H116" s="623"/>
      <c r="I116" s="624"/>
      <c r="J116" s="689"/>
      <c r="K116" s="690"/>
      <c r="L116" s="690"/>
      <c r="M116" s="690"/>
      <c r="N116" s="690"/>
      <c r="O116" s="690"/>
      <c r="P116" s="691"/>
      <c r="Q116" s="628"/>
      <c r="R116" s="630"/>
      <c r="S116" s="100"/>
      <c r="T116" s="101"/>
      <c r="U116" s="100"/>
      <c r="V116" s="628"/>
      <c r="W116" s="630"/>
      <c r="X116" s="695"/>
      <c r="Y116" s="696"/>
      <c r="Z116" s="696"/>
      <c r="AA116" s="696"/>
      <c r="AB116" s="696"/>
      <c r="AC116" s="696"/>
      <c r="AD116" s="697"/>
      <c r="AE116" s="622"/>
      <c r="AF116" s="623"/>
      <c r="AG116" s="623"/>
      <c r="AH116" s="624"/>
      <c r="AI116" s="628"/>
      <c r="AJ116" s="629"/>
      <c r="AK116" s="629"/>
      <c r="AL116" s="629"/>
      <c r="AM116" s="629"/>
      <c r="AN116" s="629"/>
      <c r="AO116" s="629"/>
      <c r="AP116" s="630"/>
    </row>
    <row r="117" spans="1:45" ht="19.5" customHeight="1" x14ac:dyDescent="0.4">
      <c r="B117" s="586"/>
      <c r="C117" s="590"/>
      <c r="D117" s="591"/>
      <c r="E117" s="592"/>
      <c r="F117" s="625"/>
      <c r="G117" s="626"/>
      <c r="H117" s="626"/>
      <c r="I117" s="627"/>
      <c r="J117" s="692"/>
      <c r="K117" s="693"/>
      <c r="L117" s="693"/>
      <c r="M117" s="693"/>
      <c r="N117" s="693"/>
      <c r="O117" s="693"/>
      <c r="P117" s="694"/>
      <c r="Q117" s="631"/>
      <c r="R117" s="633"/>
      <c r="S117" s="100"/>
      <c r="T117" s="101"/>
      <c r="U117" s="100"/>
      <c r="V117" s="631"/>
      <c r="W117" s="633"/>
      <c r="X117" s="698"/>
      <c r="Y117" s="699"/>
      <c r="Z117" s="699"/>
      <c r="AA117" s="699"/>
      <c r="AB117" s="699"/>
      <c r="AC117" s="699"/>
      <c r="AD117" s="700"/>
      <c r="AE117" s="625"/>
      <c r="AF117" s="626"/>
      <c r="AG117" s="626"/>
      <c r="AH117" s="627"/>
      <c r="AI117" s="631"/>
      <c r="AJ117" s="632"/>
      <c r="AK117" s="632"/>
      <c r="AL117" s="632"/>
      <c r="AM117" s="632"/>
      <c r="AN117" s="632"/>
      <c r="AO117" s="632"/>
      <c r="AP117" s="633"/>
    </row>
    <row r="118" spans="1:45" ht="19.5" customHeight="1" x14ac:dyDescent="0.4">
      <c r="B118" s="585"/>
      <c r="C118" s="587"/>
      <c r="D118" s="588"/>
      <c r="E118" s="589"/>
      <c r="F118" s="622"/>
      <c r="G118" s="623"/>
      <c r="H118" s="623"/>
      <c r="I118" s="624"/>
      <c r="J118" s="689"/>
      <c r="K118" s="690"/>
      <c r="L118" s="690"/>
      <c r="M118" s="690"/>
      <c r="N118" s="690"/>
      <c r="O118" s="690"/>
      <c r="P118" s="691"/>
      <c r="Q118" s="628"/>
      <c r="R118" s="630"/>
      <c r="S118" s="100"/>
      <c r="T118" s="101"/>
      <c r="U118" s="100"/>
      <c r="V118" s="628"/>
      <c r="W118" s="630"/>
      <c r="X118" s="695"/>
      <c r="Y118" s="696"/>
      <c r="Z118" s="696"/>
      <c r="AA118" s="696"/>
      <c r="AB118" s="696"/>
      <c r="AC118" s="696"/>
      <c r="AD118" s="697"/>
      <c r="AE118" s="622"/>
      <c r="AF118" s="623"/>
      <c r="AG118" s="623"/>
      <c r="AH118" s="624"/>
      <c r="AI118" s="628"/>
      <c r="AJ118" s="629"/>
      <c r="AK118" s="629"/>
      <c r="AL118" s="629"/>
      <c r="AM118" s="629"/>
      <c r="AN118" s="629"/>
      <c r="AO118" s="629"/>
      <c r="AP118" s="630"/>
    </row>
    <row r="119" spans="1:45" ht="19.5" customHeight="1" x14ac:dyDescent="0.4">
      <c r="B119" s="586"/>
      <c r="C119" s="590"/>
      <c r="D119" s="591"/>
      <c r="E119" s="592"/>
      <c r="F119" s="625"/>
      <c r="G119" s="626"/>
      <c r="H119" s="626"/>
      <c r="I119" s="627"/>
      <c r="J119" s="692"/>
      <c r="K119" s="693"/>
      <c r="L119" s="693"/>
      <c r="M119" s="693"/>
      <c r="N119" s="693"/>
      <c r="O119" s="693"/>
      <c r="P119" s="694"/>
      <c r="Q119" s="631"/>
      <c r="R119" s="633"/>
      <c r="S119" s="100"/>
      <c r="T119" s="101"/>
      <c r="U119" s="100"/>
      <c r="V119" s="631"/>
      <c r="W119" s="633"/>
      <c r="X119" s="698"/>
      <c r="Y119" s="699"/>
      <c r="Z119" s="699"/>
      <c r="AA119" s="699"/>
      <c r="AB119" s="699"/>
      <c r="AC119" s="699"/>
      <c r="AD119" s="700"/>
      <c r="AE119" s="625"/>
      <c r="AF119" s="626"/>
      <c r="AG119" s="626"/>
      <c r="AH119" s="627"/>
      <c r="AI119" s="631"/>
      <c r="AJ119" s="632"/>
      <c r="AK119" s="632"/>
      <c r="AL119" s="632"/>
      <c r="AM119" s="632"/>
      <c r="AN119" s="632"/>
      <c r="AO119" s="632"/>
      <c r="AP119" s="633"/>
    </row>
    <row r="120" spans="1:45" ht="16.5" x14ac:dyDescent="0.4">
      <c r="B120" s="585"/>
      <c r="C120" s="587"/>
      <c r="D120" s="588"/>
      <c r="E120" s="589"/>
      <c r="F120" s="622"/>
      <c r="G120" s="623"/>
      <c r="H120" s="623"/>
      <c r="I120" s="624"/>
      <c r="J120" s="689"/>
      <c r="K120" s="690"/>
      <c r="L120" s="690"/>
      <c r="M120" s="690"/>
      <c r="N120" s="690"/>
      <c r="O120" s="690"/>
      <c r="P120" s="691"/>
      <c r="Q120" s="628"/>
      <c r="R120" s="630"/>
      <c r="S120" s="100"/>
      <c r="T120" s="101"/>
      <c r="U120" s="100"/>
      <c r="V120" s="628"/>
      <c r="W120" s="630"/>
      <c r="X120" s="695"/>
      <c r="Y120" s="696"/>
      <c r="Z120" s="696"/>
      <c r="AA120" s="696"/>
      <c r="AB120" s="696"/>
      <c r="AC120" s="696"/>
      <c r="AD120" s="697"/>
      <c r="AE120" s="622"/>
      <c r="AF120" s="623"/>
      <c r="AG120" s="623"/>
      <c r="AH120" s="624"/>
      <c r="AI120" s="628"/>
      <c r="AJ120" s="629"/>
      <c r="AK120" s="629"/>
      <c r="AL120" s="629"/>
      <c r="AM120" s="629"/>
      <c r="AN120" s="629"/>
      <c r="AO120" s="629"/>
      <c r="AP120" s="630"/>
    </row>
    <row r="121" spans="1:45" ht="16.5" x14ac:dyDescent="0.4">
      <c r="B121" s="586"/>
      <c r="C121" s="590"/>
      <c r="D121" s="591"/>
      <c r="E121" s="592"/>
      <c r="F121" s="625"/>
      <c r="G121" s="626"/>
      <c r="H121" s="626"/>
      <c r="I121" s="627"/>
      <c r="J121" s="692"/>
      <c r="K121" s="693"/>
      <c r="L121" s="693"/>
      <c r="M121" s="693"/>
      <c r="N121" s="693"/>
      <c r="O121" s="693"/>
      <c r="P121" s="694"/>
      <c r="Q121" s="631"/>
      <c r="R121" s="633"/>
      <c r="S121" s="100"/>
      <c r="T121" s="101"/>
      <c r="U121" s="100"/>
      <c r="V121" s="631"/>
      <c r="W121" s="633"/>
      <c r="X121" s="698"/>
      <c r="Y121" s="699"/>
      <c r="Z121" s="699"/>
      <c r="AA121" s="699"/>
      <c r="AB121" s="699"/>
      <c r="AC121" s="699"/>
      <c r="AD121" s="700"/>
      <c r="AE121" s="625"/>
      <c r="AF121" s="626"/>
      <c r="AG121" s="626"/>
      <c r="AH121" s="627"/>
      <c r="AI121" s="631"/>
      <c r="AJ121" s="632"/>
      <c r="AK121" s="632"/>
      <c r="AL121" s="632"/>
      <c r="AM121" s="632"/>
      <c r="AN121" s="632"/>
      <c r="AO121" s="632"/>
      <c r="AP121" s="633"/>
    </row>
    <row r="122" spans="1:45" ht="20.25" thickBot="1" x14ac:dyDescent="0.45">
      <c r="A122" s="102"/>
      <c r="B122" s="103"/>
      <c r="C122" s="104"/>
      <c r="D122" s="104"/>
      <c r="E122" s="104"/>
      <c r="F122" s="103"/>
      <c r="G122" s="103"/>
      <c r="H122" s="103"/>
      <c r="I122" s="103"/>
      <c r="J122" s="103"/>
      <c r="K122" s="105"/>
      <c r="L122" s="105"/>
      <c r="M122" s="106"/>
      <c r="N122" s="107"/>
      <c r="O122" s="106"/>
      <c r="P122" s="105"/>
      <c r="Q122" s="105"/>
      <c r="R122" s="103"/>
      <c r="S122" s="103"/>
      <c r="T122" s="103"/>
      <c r="U122" s="103"/>
      <c r="V122" s="103"/>
      <c r="W122" s="108"/>
      <c r="X122" s="108"/>
      <c r="Y122" s="108"/>
      <c r="Z122" s="108"/>
      <c r="AA122" s="108"/>
      <c r="AB122" s="108"/>
      <c r="AC122" s="102"/>
    </row>
    <row r="123" spans="1:45" ht="27.75" customHeight="1" thickBot="1" x14ac:dyDescent="0.45">
      <c r="D123" s="664" t="s">
        <v>8</v>
      </c>
      <c r="E123" s="665"/>
      <c r="F123" s="665"/>
      <c r="G123" s="665"/>
      <c r="H123" s="665"/>
      <c r="I123" s="666"/>
      <c r="J123" s="667" t="s">
        <v>5</v>
      </c>
      <c r="K123" s="665"/>
      <c r="L123" s="665"/>
      <c r="M123" s="665"/>
      <c r="N123" s="665"/>
      <c r="O123" s="665"/>
      <c r="P123" s="665"/>
      <c r="Q123" s="666"/>
      <c r="R123" s="668" t="s">
        <v>9</v>
      </c>
      <c r="S123" s="669"/>
      <c r="T123" s="669"/>
      <c r="U123" s="669"/>
      <c r="V123" s="669"/>
      <c r="W123" s="669"/>
      <c r="X123" s="669"/>
      <c r="Y123" s="669"/>
      <c r="Z123" s="670"/>
      <c r="AA123" s="609" t="s">
        <v>10</v>
      </c>
      <c r="AB123" s="610"/>
      <c r="AC123" s="671"/>
      <c r="AD123" s="609" t="s">
        <v>11</v>
      </c>
      <c r="AE123" s="610"/>
      <c r="AF123" s="610"/>
      <c r="AG123" s="610"/>
      <c r="AH123" s="610"/>
      <c r="AI123" s="610"/>
      <c r="AJ123" s="610"/>
      <c r="AK123" s="610"/>
      <c r="AL123" s="610"/>
      <c r="AM123" s="611"/>
    </row>
    <row r="124" spans="1:45" ht="27.75" customHeight="1" x14ac:dyDescent="0.4">
      <c r="D124" s="651" t="s">
        <v>298</v>
      </c>
      <c r="E124" s="652"/>
      <c r="F124" s="652"/>
      <c r="G124" s="652"/>
      <c r="H124" s="652"/>
      <c r="I124" s="653"/>
      <c r="J124" s="654"/>
      <c r="K124" s="652"/>
      <c r="L124" s="652"/>
      <c r="M124" s="652"/>
      <c r="N124" s="652"/>
      <c r="O124" s="652"/>
      <c r="P124" s="652"/>
      <c r="Q124" s="653"/>
      <c r="R124" s="655"/>
      <c r="S124" s="656"/>
      <c r="T124" s="656"/>
      <c r="U124" s="656"/>
      <c r="V124" s="656"/>
      <c r="W124" s="656"/>
      <c r="X124" s="656"/>
      <c r="Y124" s="656"/>
      <c r="Z124" s="657"/>
      <c r="AA124" s="658"/>
      <c r="AB124" s="659"/>
      <c r="AC124" s="660"/>
      <c r="AD124" s="661"/>
      <c r="AE124" s="662"/>
      <c r="AF124" s="662"/>
      <c r="AG124" s="662"/>
      <c r="AH124" s="662"/>
      <c r="AI124" s="662"/>
      <c r="AJ124" s="662"/>
      <c r="AK124" s="662"/>
      <c r="AL124" s="662"/>
      <c r="AM124" s="663"/>
    </row>
    <row r="125" spans="1:45" ht="27.75" customHeight="1" x14ac:dyDescent="0.4">
      <c r="D125" s="688" t="s">
        <v>12</v>
      </c>
      <c r="E125" s="604"/>
      <c r="F125" s="604"/>
      <c r="G125" s="604"/>
      <c r="H125" s="604"/>
      <c r="I125" s="605"/>
      <c r="J125" s="603"/>
      <c r="K125" s="604"/>
      <c r="L125" s="604"/>
      <c r="M125" s="604"/>
      <c r="N125" s="604"/>
      <c r="O125" s="604"/>
      <c r="P125" s="604"/>
      <c r="Q125" s="605"/>
      <c r="R125" s="606"/>
      <c r="S125" s="607"/>
      <c r="T125" s="607"/>
      <c r="U125" s="607"/>
      <c r="V125" s="607"/>
      <c r="W125" s="607"/>
      <c r="X125" s="607"/>
      <c r="Y125" s="607"/>
      <c r="Z125" s="608"/>
      <c r="AA125" s="606"/>
      <c r="AB125" s="607"/>
      <c r="AC125" s="608"/>
      <c r="AD125" s="672"/>
      <c r="AE125" s="673"/>
      <c r="AF125" s="673"/>
      <c r="AG125" s="673"/>
      <c r="AH125" s="673"/>
      <c r="AI125" s="673"/>
      <c r="AJ125" s="673"/>
      <c r="AK125" s="673"/>
      <c r="AL125" s="673"/>
      <c r="AM125" s="674"/>
    </row>
    <row r="126" spans="1:45" ht="27.75" customHeight="1" thickBot="1" x14ac:dyDescent="0.45">
      <c r="D126" s="675" t="s">
        <v>12</v>
      </c>
      <c r="E126" s="676"/>
      <c r="F126" s="676"/>
      <c r="G126" s="676"/>
      <c r="H126" s="676"/>
      <c r="I126" s="677"/>
      <c r="J126" s="678"/>
      <c r="K126" s="676"/>
      <c r="L126" s="676"/>
      <c r="M126" s="676"/>
      <c r="N126" s="676"/>
      <c r="O126" s="676"/>
      <c r="P126" s="676"/>
      <c r="Q126" s="677"/>
      <c r="R126" s="679"/>
      <c r="S126" s="680"/>
      <c r="T126" s="680"/>
      <c r="U126" s="680"/>
      <c r="V126" s="680"/>
      <c r="W126" s="680"/>
      <c r="X126" s="680"/>
      <c r="Y126" s="680"/>
      <c r="Z126" s="681"/>
      <c r="AA126" s="682"/>
      <c r="AB126" s="683"/>
      <c r="AC126" s="684"/>
      <c r="AD126" s="685"/>
      <c r="AE126" s="686"/>
      <c r="AF126" s="686"/>
      <c r="AG126" s="686"/>
      <c r="AH126" s="686"/>
      <c r="AI126" s="686"/>
      <c r="AJ126" s="686"/>
      <c r="AK126" s="686"/>
      <c r="AL126" s="686"/>
      <c r="AM126" s="687"/>
    </row>
    <row r="127" spans="1:45" ht="15" customHeight="1" x14ac:dyDescent="0.4"/>
    <row r="128" spans="1:45" ht="27.75" customHeight="1" x14ac:dyDescent="0.4">
      <c r="A128" s="115"/>
      <c r="B128" s="599" t="str">
        <f>U12組合せ!$B$1</f>
        <v>ＪＦＡ　Ｕ-１２サッカーリーグ2021（in栃木） 宇都宮地区リーグ戦（前期）</v>
      </c>
      <c r="C128" s="599"/>
      <c r="D128" s="599"/>
      <c r="E128" s="599"/>
      <c r="F128" s="599"/>
      <c r="G128" s="599"/>
      <c r="H128" s="599"/>
      <c r="I128" s="599"/>
      <c r="J128" s="599"/>
      <c r="K128" s="599"/>
      <c r="L128" s="599"/>
      <c r="M128" s="599"/>
      <c r="N128" s="599"/>
      <c r="O128" s="599"/>
      <c r="P128" s="599"/>
      <c r="Q128" s="599"/>
      <c r="R128" s="599"/>
      <c r="S128" s="599"/>
      <c r="T128" s="599"/>
      <c r="U128" s="599"/>
      <c r="V128" s="599"/>
      <c r="W128" s="599"/>
      <c r="X128" s="599"/>
      <c r="Y128" s="599"/>
      <c r="Z128" s="599"/>
      <c r="AA128" s="599"/>
      <c r="AB128" s="599"/>
      <c r="AC128" s="612" t="str">
        <f>"【"&amp;(U12組合せ!$H$3)&amp;"】"</f>
        <v>【Ｃ ブロック】</v>
      </c>
      <c r="AD128" s="612"/>
      <c r="AE128" s="612"/>
      <c r="AF128" s="612"/>
      <c r="AG128" s="612"/>
      <c r="AH128" s="612"/>
      <c r="AI128" s="612"/>
      <c r="AJ128" s="612"/>
      <c r="AK128" s="602" t="str">
        <f>"第"&amp;(U12組合せ!$D$27)</f>
        <v>第２節</v>
      </c>
      <c r="AL128" s="602"/>
      <c r="AM128" s="602"/>
      <c r="AN128" s="602"/>
      <c r="AO128" s="602"/>
      <c r="AP128" s="597" t="s">
        <v>332</v>
      </c>
      <c r="AQ128" s="598"/>
    </row>
    <row r="129" spans="1:45" ht="15" customHeight="1" x14ac:dyDescent="0.4">
      <c r="A129" s="115"/>
      <c r="B129" s="599"/>
      <c r="C129" s="599"/>
      <c r="D129" s="599"/>
      <c r="E129" s="599"/>
      <c r="F129" s="599"/>
      <c r="G129" s="599"/>
      <c r="H129" s="599"/>
      <c r="I129" s="599"/>
      <c r="J129" s="599"/>
      <c r="K129" s="599"/>
      <c r="L129" s="599"/>
      <c r="M129" s="599"/>
      <c r="N129" s="599"/>
      <c r="O129" s="599"/>
      <c r="P129" s="599"/>
      <c r="Q129" s="599"/>
      <c r="R129" s="599"/>
      <c r="S129" s="599"/>
      <c r="T129" s="599"/>
      <c r="U129" s="599"/>
      <c r="V129" s="599"/>
      <c r="W129" s="599"/>
      <c r="X129" s="599"/>
      <c r="Y129" s="599"/>
      <c r="Z129" s="599"/>
      <c r="AA129" s="599"/>
      <c r="AB129" s="599"/>
      <c r="AC129" s="601"/>
      <c r="AD129" s="601"/>
      <c r="AE129" s="601"/>
      <c r="AF129" s="601"/>
      <c r="AG129" s="601"/>
      <c r="AH129" s="601"/>
      <c r="AI129" s="601"/>
      <c r="AJ129" s="601"/>
      <c r="AK129" s="601"/>
      <c r="AL129" s="601"/>
      <c r="AM129" s="601"/>
      <c r="AN129" s="601"/>
      <c r="AO129" s="612"/>
      <c r="AP129" s="598"/>
      <c r="AQ129" s="598"/>
    </row>
    <row r="130" spans="1:45" ht="29.25" customHeight="1" x14ac:dyDescent="0.4">
      <c r="C130" s="635" t="s">
        <v>1</v>
      </c>
      <c r="D130" s="635"/>
      <c r="E130" s="635"/>
      <c r="F130" s="635"/>
      <c r="G130" s="725" t="str">
        <f>U12対戦スケジュール!O38</f>
        <v>石井 4 AM</v>
      </c>
      <c r="H130" s="726"/>
      <c r="I130" s="726"/>
      <c r="J130" s="726"/>
      <c r="K130" s="726"/>
      <c r="L130" s="726"/>
      <c r="M130" s="726"/>
      <c r="N130" s="726"/>
      <c r="O130" s="727"/>
      <c r="P130" s="635" t="s">
        <v>0</v>
      </c>
      <c r="Q130" s="635"/>
      <c r="R130" s="635"/>
      <c r="S130" s="635"/>
      <c r="T130" s="725" t="str">
        <f>E133</f>
        <v>カテット白沢SS</v>
      </c>
      <c r="U130" s="726"/>
      <c r="V130" s="726"/>
      <c r="W130" s="726"/>
      <c r="X130" s="726"/>
      <c r="Y130" s="726"/>
      <c r="Z130" s="726"/>
      <c r="AA130" s="726"/>
      <c r="AB130" s="727"/>
      <c r="AC130" s="635" t="s">
        <v>2</v>
      </c>
      <c r="AD130" s="635"/>
      <c r="AE130" s="635"/>
      <c r="AF130" s="635"/>
      <c r="AG130" s="618">
        <f>U12組合せ!B$27</f>
        <v>44310</v>
      </c>
      <c r="AH130" s="619"/>
      <c r="AI130" s="619"/>
      <c r="AJ130" s="619"/>
      <c r="AK130" s="619"/>
      <c r="AL130" s="619"/>
      <c r="AM130" s="620" t="str">
        <f>"（"&amp;TEXT(AG130,"aaa")&amp;"）"</f>
        <v>（土）</v>
      </c>
      <c r="AN130" s="620"/>
      <c r="AO130" s="621"/>
      <c r="AP130" s="116"/>
      <c r="AR130" s="96">
        <f>140/2</f>
        <v>70</v>
      </c>
    </row>
    <row r="131" spans="1:45" ht="17.25" customHeight="1" x14ac:dyDescent="0.4">
      <c r="C131" s="96" t="str">
        <f>U12組合せ!I30</f>
        <v>C267</v>
      </c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95"/>
      <c r="X131" s="95"/>
      <c r="Y131" s="95"/>
      <c r="Z131" s="95"/>
      <c r="AA131" s="95"/>
      <c r="AB131" s="95"/>
      <c r="AC131" s="95"/>
      <c r="AR131" s="96">
        <v>40</v>
      </c>
    </row>
    <row r="132" spans="1:45" ht="30.75" customHeight="1" x14ac:dyDescent="0.4">
      <c r="C132" s="637">
        <v>1</v>
      </c>
      <c r="D132" s="637"/>
      <c r="E132" s="584" t="str">
        <f>VLOOKUP(C132,U12組合せ!B$10:K$19,7,TRUE)</f>
        <v>FCアリーバ</v>
      </c>
      <c r="F132" s="584"/>
      <c r="G132" s="584"/>
      <c r="H132" s="584"/>
      <c r="I132" s="584"/>
      <c r="J132" s="584"/>
      <c r="K132" s="584"/>
      <c r="L132" s="584"/>
      <c r="M132" s="584"/>
      <c r="N132" s="584"/>
      <c r="O132" s="94"/>
      <c r="P132" s="94"/>
      <c r="Q132" s="637">
        <v>4</v>
      </c>
      <c r="R132" s="637"/>
      <c r="S132" s="584" t="str">
        <f>VLOOKUP(Q132,U12組合せ!B$10:K$19,7,TRUE)</f>
        <v>ともぞうSC　U11</v>
      </c>
      <c r="T132" s="584"/>
      <c r="U132" s="584"/>
      <c r="V132" s="584"/>
      <c r="W132" s="584"/>
      <c r="X132" s="584"/>
      <c r="Y132" s="584"/>
      <c r="Z132" s="584"/>
      <c r="AA132" s="584"/>
      <c r="AB132" s="584"/>
      <c r="AC132" s="92"/>
      <c r="AD132" s="93"/>
      <c r="AE132" s="636">
        <v>7</v>
      </c>
      <c r="AF132" s="636"/>
      <c r="AG132" s="709" t="str">
        <f>VLOOKUP(AE132,U12組合せ!B$10:'U12組合せ'!K$19,7,TRUE)</f>
        <v>雀宮FC</v>
      </c>
      <c r="AH132" s="709"/>
      <c r="AI132" s="709"/>
      <c r="AJ132" s="709"/>
      <c r="AK132" s="709"/>
      <c r="AL132" s="709"/>
      <c r="AM132" s="709"/>
      <c r="AN132" s="709"/>
      <c r="AO132" s="709"/>
      <c r="AP132" s="709"/>
      <c r="AR132" s="96">
        <f>AR130-AR131</f>
        <v>30</v>
      </c>
    </row>
    <row r="133" spans="1:45" ht="30.75" customHeight="1" x14ac:dyDescent="0.4">
      <c r="C133" s="636">
        <v>2</v>
      </c>
      <c r="D133" s="636"/>
      <c r="E133" s="709" t="str">
        <f>VLOOKUP(C133,U12組合せ!B$10:K$19,7,TRUE)</f>
        <v>カテット白沢SS</v>
      </c>
      <c r="F133" s="709"/>
      <c r="G133" s="709"/>
      <c r="H133" s="709"/>
      <c r="I133" s="709"/>
      <c r="J133" s="709"/>
      <c r="K133" s="709"/>
      <c r="L133" s="709"/>
      <c r="M133" s="709"/>
      <c r="N133" s="709"/>
      <c r="O133" s="94"/>
      <c r="P133" s="94"/>
      <c r="Q133" s="637">
        <v>5</v>
      </c>
      <c r="R133" s="637"/>
      <c r="S133" s="584" t="str">
        <f>VLOOKUP(Q133,U12組合せ!B$10:K$19,7,TRUE)</f>
        <v>豊郷JFC宇都宮U-12</v>
      </c>
      <c r="T133" s="584"/>
      <c r="U133" s="584"/>
      <c r="V133" s="584"/>
      <c r="W133" s="584"/>
      <c r="X133" s="584"/>
      <c r="Y133" s="584"/>
      <c r="Z133" s="584"/>
      <c r="AA133" s="584"/>
      <c r="AB133" s="584"/>
      <c r="AC133" s="92"/>
      <c r="AD133" s="93"/>
      <c r="AE133" s="637">
        <v>8</v>
      </c>
      <c r="AF133" s="637"/>
      <c r="AG133" s="584" t="str">
        <f>VLOOKUP(AE133,U12組合せ!B$10:'U12組合せ'!K$19,7,TRUE)</f>
        <v>FCみらいP</v>
      </c>
      <c r="AH133" s="584"/>
      <c r="AI133" s="584"/>
      <c r="AJ133" s="584"/>
      <c r="AK133" s="584"/>
      <c r="AL133" s="584"/>
      <c r="AM133" s="584"/>
      <c r="AN133" s="584"/>
      <c r="AO133" s="584"/>
      <c r="AP133" s="584"/>
    </row>
    <row r="134" spans="1:45" ht="30.75" customHeight="1" x14ac:dyDescent="0.4">
      <c r="C134" s="637">
        <v>3</v>
      </c>
      <c r="D134" s="637"/>
      <c r="E134" s="584" t="str">
        <f>VLOOKUP(C134,U12組合せ!B$10:K$19,7,TRUE)</f>
        <v>リフレSCチェルビアット</v>
      </c>
      <c r="F134" s="584"/>
      <c r="G134" s="584"/>
      <c r="H134" s="584"/>
      <c r="I134" s="584"/>
      <c r="J134" s="584"/>
      <c r="K134" s="584"/>
      <c r="L134" s="584"/>
      <c r="M134" s="584"/>
      <c r="N134" s="584"/>
      <c r="O134" s="94"/>
      <c r="P134" s="94"/>
      <c r="Q134" s="636">
        <v>6</v>
      </c>
      <c r="R134" s="636"/>
      <c r="S134" s="709" t="str">
        <f>VLOOKUP(Q134,U12組合せ!B$10:K$19,7,TRUE)</f>
        <v>シャルムグランツSC</v>
      </c>
      <c r="T134" s="709"/>
      <c r="U134" s="709"/>
      <c r="V134" s="709"/>
      <c r="W134" s="709"/>
      <c r="X134" s="709"/>
      <c r="Y134" s="709"/>
      <c r="Z134" s="709"/>
      <c r="AA134" s="709"/>
      <c r="AB134" s="709"/>
      <c r="AC134" s="92"/>
      <c r="AD134" s="93"/>
      <c r="AE134" s="637">
        <v>9</v>
      </c>
      <c r="AF134" s="637"/>
      <c r="AG134" s="584" t="str">
        <f>VLOOKUP(AE134,U12組合せ!B$10:'U12組合せ'!K$19,7,TRUE)</f>
        <v>みはらSC jr</v>
      </c>
      <c r="AH134" s="584"/>
      <c r="AI134" s="584"/>
      <c r="AJ134" s="584"/>
      <c r="AK134" s="584"/>
      <c r="AL134" s="584"/>
      <c r="AM134" s="584"/>
      <c r="AN134" s="584"/>
      <c r="AO134" s="584"/>
      <c r="AP134" s="584"/>
    </row>
    <row r="135" spans="1:45" ht="12" customHeight="1" x14ac:dyDescent="0.4">
      <c r="C135" s="121"/>
      <c r="D135" s="121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94"/>
      <c r="P135" s="94"/>
      <c r="Q135" s="123"/>
      <c r="R135" s="123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92"/>
      <c r="AD135" s="93"/>
      <c r="AE135" s="123"/>
      <c r="AF135" s="123"/>
      <c r="AG135" s="124"/>
      <c r="AH135" s="124"/>
      <c r="AI135" s="124"/>
      <c r="AJ135" s="124"/>
      <c r="AK135" s="124"/>
      <c r="AL135" s="124"/>
      <c r="AM135" s="124"/>
      <c r="AN135" s="124"/>
      <c r="AO135" s="124"/>
      <c r="AP135" s="124"/>
    </row>
    <row r="136" spans="1:45" ht="12" customHeight="1" x14ac:dyDescent="0.4">
      <c r="B136" s="102"/>
      <c r="O136" s="102"/>
      <c r="P136" s="102"/>
      <c r="AC136" s="95"/>
      <c r="AD136" s="102"/>
      <c r="AE136" s="102"/>
      <c r="AF136" s="102"/>
      <c r="AG136" s="102"/>
    </row>
    <row r="137" spans="1:45" ht="12" customHeight="1" x14ac:dyDescent="0.4">
      <c r="C137" s="117"/>
      <c r="D137" s="118"/>
      <c r="E137" s="118"/>
      <c r="F137" s="118"/>
      <c r="G137" s="118"/>
      <c r="H137" s="118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18"/>
      <c r="U137" s="102"/>
      <c r="V137" s="118"/>
      <c r="W137" s="102"/>
      <c r="X137" s="118"/>
      <c r="Y137" s="102"/>
      <c r="Z137" s="118"/>
      <c r="AA137" s="102"/>
      <c r="AB137" s="118"/>
      <c r="AC137" s="118"/>
    </row>
    <row r="138" spans="1:45" ht="21.75" customHeight="1" x14ac:dyDescent="0.4">
      <c r="B138" s="118" t="str">
        <f ca="1">IF(B140="①","【監督会議 8：20～】","【監督会議 12：50～】")</f>
        <v>【監督会議 8：20～】</v>
      </c>
      <c r="I138" s="96" t="s">
        <v>330</v>
      </c>
    </row>
    <row r="139" spans="1:45" ht="19.5" customHeight="1" x14ac:dyDescent="0.4">
      <c r="B139" s="97"/>
      <c r="C139" s="711" t="s">
        <v>3</v>
      </c>
      <c r="D139" s="711"/>
      <c r="E139" s="711"/>
      <c r="F139" s="712" t="s">
        <v>4</v>
      </c>
      <c r="G139" s="712"/>
      <c r="H139" s="712"/>
      <c r="I139" s="712"/>
      <c r="J139" s="711" t="s">
        <v>5</v>
      </c>
      <c r="K139" s="713"/>
      <c r="L139" s="713"/>
      <c r="M139" s="713"/>
      <c r="N139" s="713"/>
      <c r="O139" s="713"/>
      <c r="P139" s="713"/>
      <c r="Q139" s="711" t="s">
        <v>32</v>
      </c>
      <c r="R139" s="711"/>
      <c r="S139" s="711"/>
      <c r="T139" s="711"/>
      <c r="U139" s="711"/>
      <c r="V139" s="711"/>
      <c r="W139" s="711"/>
      <c r="X139" s="711" t="s">
        <v>5</v>
      </c>
      <c r="Y139" s="713"/>
      <c r="Z139" s="713"/>
      <c r="AA139" s="713"/>
      <c r="AB139" s="713"/>
      <c r="AC139" s="713"/>
      <c r="AD139" s="713"/>
      <c r="AE139" s="712" t="s">
        <v>4</v>
      </c>
      <c r="AF139" s="712"/>
      <c r="AG139" s="712"/>
      <c r="AH139" s="712"/>
      <c r="AI139" s="711" t="s">
        <v>6</v>
      </c>
      <c r="AJ139" s="711"/>
      <c r="AK139" s="713"/>
      <c r="AL139" s="713"/>
      <c r="AM139" s="713"/>
      <c r="AN139" s="713"/>
      <c r="AO139" s="713"/>
      <c r="AP139" s="713"/>
    </row>
    <row r="140" spans="1:45" ht="19.5" customHeight="1" x14ac:dyDescent="0.4">
      <c r="B140" s="644" t="str">
        <f ca="1">DBCS(INDIRECT("U12対戦スケジュール!m"&amp;(ROW())/2-AR$132))</f>
        <v>①</v>
      </c>
      <c r="C140" s="645">
        <f ca="1">INDIRECT("U12対戦スケジュール!n"&amp;(ROW())/2-AR$132)</f>
        <v>0.375</v>
      </c>
      <c r="D140" s="646"/>
      <c r="E140" s="647"/>
      <c r="F140" s="583"/>
      <c r="G140" s="583"/>
      <c r="H140" s="583"/>
      <c r="I140" s="583"/>
      <c r="J140" s="746" t="str">
        <f ca="1">VLOOKUP(AR140,U12組合せ!B$10:K$19,7,TRUE)</f>
        <v>カテット白沢SS</v>
      </c>
      <c r="K140" s="747"/>
      <c r="L140" s="747"/>
      <c r="M140" s="747"/>
      <c r="N140" s="747"/>
      <c r="O140" s="747"/>
      <c r="P140" s="747"/>
      <c r="Q140" s="628">
        <f>IF(OR(S140="",S141=""),"",S140+S141)</f>
        <v>3</v>
      </c>
      <c r="R140" s="630"/>
      <c r="S140" s="100">
        <v>3</v>
      </c>
      <c r="T140" s="101" t="s">
        <v>7</v>
      </c>
      <c r="U140" s="100">
        <v>0</v>
      </c>
      <c r="V140" s="628">
        <f>IF(OR(U140="",U141=""),"",U140+U141)</f>
        <v>0</v>
      </c>
      <c r="W140" s="630"/>
      <c r="X140" s="746" t="str">
        <f ca="1">VLOOKUP(AS140,U12組合せ!B$10:K$19,7,TRUE)</f>
        <v>シャルムグランツSC</v>
      </c>
      <c r="Y140" s="747"/>
      <c r="Z140" s="747"/>
      <c r="AA140" s="747"/>
      <c r="AB140" s="747"/>
      <c r="AC140" s="747"/>
      <c r="AD140" s="747"/>
      <c r="AE140" s="583"/>
      <c r="AF140" s="583"/>
      <c r="AG140" s="583"/>
      <c r="AH140" s="583"/>
      <c r="AI140" s="758" t="str">
        <f ca="1">DBCS(INDIRECT("U12対戦スケジュール!r"&amp;(ROW())/2-AR$132))</f>
        <v>７／２／６／７</v>
      </c>
      <c r="AJ140" s="759"/>
      <c r="AK140" s="759"/>
      <c r="AL140" s="759"/>
      <c r="AM140" s="759"/>
      <c r="AN140" s="759"/>
      <c r="AO140" s="759"/>
      <c r="AP140" s="760"/>
      <c r="AR140" s="119">
        <f ca="1">INDIRECT("U12対戦スケジュール!o"&amp;(ROW())/2-AR$132)</f>
        <v>2</v>
      </c>
      <c r="AS140" s="119">
        <f ca="1">INDIRECT("U12対戦スケジュール!q"&amp;(ROW())/2-AR$132)</f>
        <v>6</v>
      </c>
    </row>
    <row r="141" spans="1:45" ht="19.5" customHeight="1" x14ac:dyDescent="0.4">
      <c r="B141" s="644"/>
      <c r="C141" s="648"/>
      <c r="D141" s="649"/>
      <c r="E141" s="650"/>
      <c r="F141" s="583"/>
      <c r="G141" s="583"/>
      <c r="H141" s="583"/>
      <c r="I141" s="583"/>
      <c r="J141" s="747"/>
      <c r="K141" s="747"/>
      <c r="L141" s="747"/>
      <c r="M141" s="747"/>
      <c r="N141" s="747"/>
      <c r="O141" s="747"/>
      <c r="P141" s="747"/>
      <c r="Q141" s="631"/>
      <c r="R141" s="633"/>
      <c r="S141" s="100">
        <v>0</v>
      </c>
      <c r="T141" s="101" t="s">
        <v>7</v>
      </c>
      <c r="U141" s="100">
        <v>0</v>
      </c>
      <c r="V141" s="631"/>
      <c r="W141" s="633"/>
      <c r="X141" s="747"/>
      <c r="Y141" s="747"/>
      <c r="Z141" s="747"/>
      <c r="AA141" s="747"/>
      <c r="AB141" s="747"/>
      <c r="AC141" s="747"/>
      <c r="AD141" s="747"/>
      <c r="AE141" s="583"/>
      <c r="AF141" s="583"/>
      <c r="AG141" s="583"/>
      <c r="AH141" s="583"/>
      <c r="AI141" s="761"/>
      <c r="AJ141" s="762"/>
      <c r="AK141" s="762"/>
      <c r="AL141" s="762"/>
      <c r="AM141" s="762"/>
      <c r="AN141" s="762"/>
      <c r="AO141" s="762"/>
      <c r="AP141" s="763"/>
      <c r="AR141" s="119"/>
      <c r="AS141" s="119"/>
    </row>
    <row r="142" spans="1:45" ht="19.5" customHeight="1" x14ac:dyDescent="0.4">
      <c r="B142" s="644" t="str">
        <f t="shared" ref="B142" ca="1" si="2">DBCS(INDIRECT("U12対戦スケジュール!m"&amp;(ROW())/2-AR$132))</f>
        <v>②</v>
      </c>
      <c r="C142" s="645">
        <f t="shared" ref="C142" ca="1" si="3">INDIRECT("U12対戦スケジュール!n"&amp;(ROW())/2-AR$132)</f>
        <v>0.41699999999999998</v>
      </c>
      <c r="D142" s="646"/>
      <c r="E142" s="647"/>
      <c r="F142" s="583"/>
      <c r="G142" s="583"/>
      <c r="H142" s="583"/>
      <c r="I142" s="583"/>
      <c r="J142" s="746" t="str">
        <f ca="1">VLOOKUP(AR142,U12組合せ!B$10:K$19,7,TRUE)</f>
        <v>雀宮FC</v>
      </c>
      <c r="K142" s="747"/>
      <c r="L142" s="747"/>
      <c r="M142" s="747"/>
      <c r="N142" s="747"/>
      <c r="O142" s="747"/>
      <c r="P142" s="747"/>
      <c r="Q142" s="634">
        <v>3</v>
      </c>
      <c r="R142" s="634"/>
      <c r="S142" s="100"/>
      <c r="T142" s="101" t="s">
        <v>7</v>
      </c>
      <c r="U142" s="100"/>
      <c r="V142" s="634">
        <v>0</v>
      </c>
      <c r="W142" s="634"/>
      <c r="X142" s="746" t="str">
        <f ca="1">VLOOKUP(AS142,U12組合せ!B$10:K$19,7,TRUE)</f>
        <v>シャルムグランツSC</v>
      </c>
      <c r="Y142" s="747"/>
      <c r="Z142" s="747"/>
      <c r="AA142" s="747"/>
      <c r="AB142" s="747"/>
      <c r="AC142" s="747"/>
      <c r="AD142" s="747"/>
      <c r="AE142" s="583"/>
      <c r="AF142" s="583"/>
      <c r="AG142" s="583"/>
      <c r="AH142" s="583"/>
      <c r="AI142" s="758" t="str">
        <f ca="1">DBCS(INDIRECT("U12対戦スケジュール!r"&amp;(ROW())/2-AR$132))</f>
        <v>２／６／７／２</v>
      </c>
      <c r="AJ142" s="759"/>
      <c r="AK142" s="759"/>
      <c r="AL142" s="759"/>
      <c r="AM142" s="759"/>
      <c r="AN142" s="759"/>
      <c r="AO142" s="759"/>
      <c r="AP142" s="760"/>
      <c r="AR142" s="119">
        <f ca="1">INDIRECT("U12対戦スケジュール!o"&amp;(ROW())/2-AR$132)</f>
        <v>7</v>
      </c>
      <c r="AS142" s="119">
        <f ca="1">INDIRECT("U12対戦スケジュール!q"&amp;(ROW())/2-AR$132)</f>
        <v>6</v>
      </c>
    </row>
    <row r="143" spans="1:45" ht="19.5" customHeight="1" x14ac:dyDescent="0.4">
      <c r="B143" s="644"/>
      <c r="C143" s="648"/>
      <c r="D143" s="649"/>
      <c r="E143" s="650"/>
      <c r="F143" s="583"/>
      <c r="G143" s="583"/>
      <c r="H143" s="583"/>
      <c r="I143" s="583"/>
      <c r="J143" s="747"/>
      <c r="K143" s="747"/>
      <c r="L143" s="747"/>
      <c r="M143" s="747"/>
      <c r="N143" s="747"/>
      <c r="O143" s="747"/>
      <c r="P143" s="747"/>
      <c r="Q143" s="634"/>
      <c r="R143" s="634"/>
      <c r="S143" s="100"/>
      <c r="T143" s="101" t="s">
        <v>7</v>
      </c>
      <c r="U143" s="100"/>
      <c r="V143" s="634"/>
      <c r="W143" s="634"/>
      <c r="X143" s="747"/>
      <c r="Y143" s="747"/>
      <c r="Z143" s="747"/>
      <c r="AA143" s="747"/>
      <c r="AB143" s="747"/>
      <c r="AC143" s="747"/>
      <c r="AD143" s="747"/>
      <c r="AE143" s="583"/>
      <c r="AF143" s="583"/>
      <c r="AG143" s="583"/>
      <c r="AH143" s="583"/>
      <c r="AI143" s="761"/>
      <c r="AJ143" s="762"/>
      <c r="AK143" s="762"/>
      <c r="AL143" s="762"/>
      <c r="AM143" s="762"/>
      <c r="AN143" s="762"/>
      <c r="AO143" s="762"/>
      <c r="AP143" s="763"/>
      <c r="AR143" s="119"/>
      <c r="AS143" s="119"/>
    </row>
    <row r="144" spans="1:45" ht="19.5" customHeight="1" x14ac:dyDescent="0.4">
      <c r="B144" s="644" t="str">
        <f t="shared" ref="B144" ca="1" si="4">DBCS(INDIRECT("U12対戦スケジュール!m"&amp;(ROW())/2-AR$132))</f>
        <v>③</v>
      </c>
      <c r="C144" s="645">
        <f t="shared" ref="C144" ca="1" si="5">INDIRECT("U12対戦スケジュール!n"&amp;(ROW())/2-AR$132)</f>
        <v>0.45899999999999996</v>
      </c>
      <c r="D144" s="646"/>
      <c r="E144" s="647"/>
      <c r="F144" s="583"/>
      <c r="G144" s="583"/>
      <c r="H144" s="583"/>
      <c r="I144" s="583"/>
      <c r="J144" s="746" t="str">
        <f ca="1">VLOOKUP(AR144,U12組合せ!B$10:K$19,7,TRUE)</f>
        <v>雀宮FC</v>
      </c>
      <c r="K144" s="747"/>
      <c r="L144" s="747"/>
      <c r="M144" s="747"/>
      <c r="N144" s="747"/>
      <c r="O144" s="747"/>
      <c r="P144" s="747"/>
      <c r="Q144" s="634">
        <f>IF(OR(S144="",S145=""),"",S144+S145)</f>
        <v>1</v>
      </c>
      <c r="R144" s="634"/>
      <c r="S144" s="100">
        <v>0</v>
      </c>
      <c r="T144" s="101" t="s">
        <v>7</v>
      </c>
      <c r="U144" s="100">
        <v>1</v>
      </c>
      <c r="V144" s="634">
        <f>IF(OR(U144="",U145=""),"",U144+U145)</f>
        <v>1</v>
      </c>
      <c r="W144" s="634"/>
      <c r="X144" s="746" t="str">
        <f ca="1">VLOOKUP(AS144,U12組合せ!B$10:K$19,7,TRUE)</f>
        <v>カテット白沢SS</v>
      </c>
      <c r="Y144" s="747"/>
      <c r="Z144" s="747"/>
      <c r="AA144" s="747"/>
      <c r="AB144" s="747"/>
      <c r="AC144" s="747"/>
      <c r="AD144" s="747"/>
      <c r="AE144" s="583"/>
      <c r="AF144" s="583"/>
      <c r="AG144" s="583"/>
      <c r="AH144" s="583"/>
      <c r="AI144" s="758" t="str">
        <f ca="1">DBCS(INDIRECT("U12対戦スケジュール!r"&amp;(ROW())/2-AR$132))</f>
        <v>６／７／２／６</v>
      </c>
      <c r="AJ144" s="759"/>
      <c r="AK144" s="759"/>
      <c r="AL144" s="759"/>
      <c r="AM144" s="759"/>
      <c r="AN144" s="759"/>
      <c r="AO144" s="759"/>
      <c r="AP144" s="760"/>
      <c r="AR144" s="119">
        <f ca="1">INDIRECT("U12対戦スケジュール!o"&amp;(ROW())/2-AR$132)</f>
        <v>7</v>
      </c>
      <c r="AS144" s="119">
        <f ca="1">INDIRECT("U12対戦スケジュール!q"&amp;(ROW())/2-AR$132)</f>
        <v>2</v>
      </c>
    </row>
    <row r="145" spans="1:45" ht="19.5" customHeight="1" x14ac:dyDescent="0.4">
      <c r="B145" s="644"/>
      <c r="C145" s="648"/>
      <c r="D145" s="649"/>
      <c r="E145" s="650"/>
      <c r="F145" s="583"/>
      <c r="G145" s="583"/>
      <c r="H145" s="583"/>
      <c r="I145" s="583"/>
      <c r="J145" s="747"/>
      <c r="K145" s="747"/>
      <c r="L145" s="747"/>
      <c r="M145" s="747"/>
      <c r="N145" s="747"/>
      <c r="O145" s="747"/>
      <c r="P145" s="747"/>
      <c r="Q145" s="634"/>
      <c r="R145" s="634"/>
      <c r="S145" s="100">
        <v>1</v>
      </c>
      <c r="T145" s="101" t="s">
        <v>7</v>
      </c>
      <c r="U145" s="100">
        <v>0</v>
      </c>
      <c r="V145" s="634"/>
      <c r="W145" s="634"/>
      <c r="X145" s="747"/>
      <c r="Y145" s="747"/>
      <c r="Z145" s="747"/>
      <c r="AA145" s="747"/>
      <c r="AB145" s="747"/>
      <c r="AC145" s="747"/>
      <c r="AD145" s="747"/>
      <c r="AE145" s="583"/>
      <c r="AF145" s="583"/>
      <c r="AG145" s="583"/>
      <c r="AH145" s="583"/>
      <c r="AI145" s="761"/>
      <c r="AJ145" s="762"/>
      <c r="AK145" s="762"/>
      <c r="AL145" s="762"/>
      <c r="AM145" s="762"/>
      <c r="AN145" s="762"/>
      <c r="AO145" s="762"/>
      <c r="AP145" s="763"/>
      <c r="AR145" s="119"/>
      <c r="AS145" s="119"/>
    </row>
    <row r="146" spans="1:45" ht="19.5" customHeight="1" x14ac:dyDescent="0.4">
      <c r="B146" s="586"/>
      <c r="C146" s="739"/>
      <c r="D146" s="740"/>
      <c r="E146" s="741"/>
      <c r="F146" s="704"/>
      <c r="G146" s="704"/>
      <c r="H146" s="704"/>
      <c r="I146" s="704"/>
      <c r="J146" s="701"/>
      <c r="K146" s="702"/>
      <c r="L146" s="702"/>
      <c r="M146" s="702"/>
      <c r="N146" s="702"/>
      <c r="O146" s="702"/>
      <c r="P146" s="702"/>
      <c r="Q146" s="705"/>
      <c r="R146" s="705"/>
      <c r="S146" s="109"/>
      <c r="T146" s="110"/>
      <c r="U146" s="109"/>
      <c r="V146" s="705"/>
      <c r="W146" s="705"/>
      <c r="X146" s="701"/>
      <c r="Y146" s="702"/>
      <c r="Z146" s="702"/>
      <c r="AA146" s="702"/>
      <c r="AB146" s="702"/>
      <c r="AC146" s="702"/>
      <c r="AD146" s="702"/>
      <c r="AE146" s="704"/>
      <c r="AF146" s="704"/>
      <c r="AG146" s="704"/>
      <c r="AH146" s="704"/>
      <c r="AI146" s="706"/>
      <c r="AJ146" s="707"/>
      <c r="AK146" s="707"/>
      <c r="AL146" s="707"/>
      <c r="AM146" s="707"/>
      <c r="AN146" s="707"/>
      <c r="AO146" s="707"/>
      <c r="AP146" s="707"/>
      <c r="AR146" s="119"/>
      <c r="AS146" s="119"/>
    </row>
    <row r="147" spans="1:45" ht="19.5" customHeight="1" x14ac:dyDescent="0.4">
      <c r="B147" s="644"/>
      <c r="C147" s="648"/>
      <c r="D147" s="649"/>
      <c r="E147" s="650"/>
      <c r="F147" s="583"/>
      <c r="G147" s="583"/>
      <c r="H147" s="583"/>
      <c r="I147" s="583"/>
      <c r="J147" s="703"/>
      <c r="K147" s="703"/>
      <c r="L147" s="703"/>
      <c r="M147" s="703"/>
      <c r="N147" s="703"/>
      <c r="O147" s="703"/>
      <c r="P147" s="703"/>
      <c r="Q147" s="634"/>
      <c r="R147" s="634"/>
      <c r="S147" s="100"/>
      <c r="T147" s="101"/>
      <c r="U147" s="100"/>
      <c r="V147" s="634"/>
      <c r="W147" s="634"/>
      <c r="X147" s="703"/>
      <c r="Y147" s="703"/>
      <c r="Z147" s="703"/>
      <c r="AA147" s="703"/>
      <c r="AB147" s="703"/>
      <c r="AC147" s="703"/>
      <c r="AD147" s="703"/>
      <c r="AE147" s="583"/>
      <c r="AF147" s="583"/>
      <c r="AG147" s="583"/>
      <c r="AH147" s="583"/>
      <c r="AI147" s="708"/>
      <c r="AJ147" s="708"/>
      <c r="AK147" s="708"/>
      <c r="AL147" s="708"/>
      <c r="AM147" s="708"/>
      <c r="AN147" s="708"/>
      <c r="AO147" s="708"/>
      <c r="AP147" s="708"/>
      <c r="AR147" s="119"/>
      <c r="AS147" s="119"/>
    </row>
    <row r="148" spans="1:45" ht="19.5" customHeight="1" x14ac:dyDescent="0.4">
      <c r="B148" s="585"/>
      <c r="C148" s="587"/>
      <c r="D148" s="588"/>
      <c r="E148" s="589"/>
      <c r="F148" s="622"/>
      <c r="G148" s="623"/>
      <c r="H148" s="623"/>
      <c r="I148" s="624"/>
      <c r="J148" s="689"/>
      <c r="K148" s="690"/>
      <c r="L148" s="690"/>
      <c r="M148" s="690"/>
      <c r="N148" s="690"/>
      <c r="O148" s="690"/>
      <c r="P148" s="691"/>
      <c r="Q148" s="628"/>
      <c r="R148" s="630"/>
      <c r="S148" s="100"/>
      <c r="T148" s="101"/>
      <c r="U148" s="100"/>
      <c r="V148" s="628"/>
      <c r="W148" s="630"/>
      <c r="X148" s="695"/>
      <c r="Y148" s="696"/>
      <c r="Z148" s="696"/>
      <c r="AA148" s="696"/>
      <c r="AB148" s="696"/>
      <c r="AC148" s="696"/>
      <c r="AD148" s="697"/>
      <c r="AE148" s="622"/>
      <c r="AF148" s="623"/>
      <c r="AG148" s="623"/>
      <c r="AH148" s="624"/>
      <c r="AI148" s="628"/>
      <c r="AJ148" s="629"/>
      <c r="AK148" s="629"/>
      <c r="AL148" s="629"/>
      <c r="AM148" s="629"/>
      <c r="AN148" s="629"/>
      <c r="AO148" s="629"/>
      <c r="AP148" s="630"/>
    </row>
    <row r="149" spans="1:45" ht="19.5" customHeight="1" x14ac:dyDescent="0.4">
      <c r="B149" s="586"/>
      <c r="C149" s="590"/>
      <c r="D149" s="591"/>
      <c r="E149" s="592"/>
      <c r="F149" s="625"/>
      <c r="G149" s="626"/>
      <c r="H149" s="626"/>
      <c r="I149" s="627"/>
      <c r="J149" s="692"/>
      <c r="K149" s="693"/>
      <c r="L149" s="693"/>
      <c r="M149" s="693"/>
      <c r="N149" s="693"/>
      <c r="O149" s="693"/>
      <c r="P149" s="694"/>
      <c r="Q149" s="631"/>
      <c r="R149" s="633"/>
      <c r="S149" s="100"/>
      <c r="T149" s="101"/>
      <c r="U149" s="100"/>
      <c r="V149" s="631"/>
      <c r="W149" s="633"/>
      <c r="X149" s="698"/>
      <c r="Y149" s="699"/>
      <c r="Z149" s="699"/>
      <c r="AA149" s="699"/>
      <c r="AB149" s="699"/>
      <c r="AC149" s="699"/>
      <c r="AD149" s="700"/>
      <c r="AE149" s="625"/>
      <c r="AF149" s="626"/>
      <c r="AG149" s="626"/>
      <c r="AH149" s="627"/>
      <c r="AI149" s="631"/>
      <c r="AJ149" s="632"/>
      <c r="AK149" s="632"/>
      <c r="AL149" s="632"/>
      <c r="AM149" s="632"/>
      <c r="AN149" s="632"/>
      <c r="AO149" s="632"/>
      <c r="AP149" s="633"/>
    </row>
    <row r="150" spans="1:45" ht="19.5" customHeight="1" x14ac:dyDescent="0.4">
      <c r="B150" s="585"/>
      <c r="C150" s="587"/>
      <c r="D150" s="588"/>
      <c r="E150" s="589"/>
      <c r="F150" s="622"/>
      <c r="G150" s="623"/>
      <c r="H150" s="623"/>
      <c r="I150" s="624"/>
      <c r="J150" s="689"/>
      <c r="K150" s="690"/>
      <c r="L150" s="690"/>
      <c r="M150" s="690"/>
      <c r="N150" s="690"/>
      <c r="O150" s="690"/>
      <c r="P150" s="691"/>
      <c r="Q150" s="628"/>
      <c r="R150" s="630"/>
      <c r="S150" s="100"/>
      <c r="T150" s="101"/>
      <c r="U150" s="100"/>
      <c r="V150" s="628"/>
      <c r="W150" s="630"/>
      <c r="X150" s="695"/>
      <c r="Y150" s="696"/>
      <c r="Z150" s="696"/>
      <c r="AA150" s="696"/>
      <c r="AB150" s="696"/>
      <c r="AC150" s="696"/>
      <c r="AD150" s="697"/>
      <c r="AE150" s="622"/>
      <c r="AF150" s="623"/>
      <c r="AG150" s="623"/>
      <c r="AH150" s="624"/>
      <c r="AI150" s="628"/>
      <c r="AJ150" s="629"/>
      <c r="AK150" s="629"/>
      <c r="AL150" s="629"/>
      <c r="AM150" s="629"/>
      <c r="AN150" s="629"/>
      <c r="AO150" s="629"/>
      <c r="AP150" s="630"/>
    </row>
    <row r="151" spans="1:45" ht="19.5" customHeight="1" x14ac:dyDescent="0.4">
      <c r="B151" s="586"/>
      <c r="C151" s="590"/>
      <c r="D151" s="591"/>
      <c r="E151" s="592"/>
      <c r="F151" s="625"/>
      <c r="G151" s="626"/>
      <c r="H151" s="626"/>
      <c r="I151" s="627"/>
      <c r="J151" s="692"/>
      <c r="K151" s="693"/>
      <c r="L151" s="693"/>
      <c r="M151" s="693"/>
      <c r="N151" s="693"/>
      <c r="O151" s="693"/>
      <c r="P151" s="694"/>
      <c r="Q151" s="631"/>
      <c r="R151" s="633"/>
      <c r="S151" s="100"/>
      <c r="T151" s="101"/>
      <c r="U151" s="100"/>
      <c r="V151" s="631"/>
      <c r="W151" s="633"/>
      <c r="X151" s="698"/>
      <c r="Y151" s="699"/>
      <c r="Z151" s="699"/>
      <c r="AA151" s="699"/>
      <c r="AB151" s="699"/>
      <c r="AC151" s="699"/>
      <c r="AD151" s="700"/>
      <c r="AE151" s="625"/>
      <c r="AF151" s="626"/>
      <c r="AG151" s="626"/>
      <c r="AH151" s="627"/>
      <c r="AI151" s="631"/>
      <c r="AJ151" s="632"/>
      <c r="AK151" s="632"/>
      <c r="AL151" s="632"/>
      <c r="AM151" s="632"/>
      <c r="AN151" s="632"/>
      <c r="AO151" s="632"/>
      <c r="AP151" s="633"/>
    </row>
    <row r="152" spans="1:45" ht="16.5" x14ac:dyDescent="0.4">
      <c r="B152" s="585"/>
      <c r="C152" s="587"/>
      <c r="D152" s="588"/>
      <c r="E152" s="589"/>
      <c r="F152" s="622"/>
      <c r="G152" s="623"/>
      <c r="H152" s="623"/>
      <c r="I152" s="624"/>
      <c r="J152" s="689"/>
      <c r="K152" s="690"/>
      <c r="L152" s="690"/>
      <c r="M152" s="690"/>
      <c r="N152" s="690"/>
      <c r="O152" s="690"/>
      <c r="P152" s="691"/>
      <c r="Q152" s="628"/>
      <c r="R152" s="630"/>
      <c r="S152" s="100"/>
      <c r="T152" s="101"/>
      <c r="U152" s="100"/>
      <c r="V152" s="628"/>
      <c r="W152" s="630"/>
      <c r="X152" s="695"/>
      <c r="Y152" s="696"/>
      <c r="Z152" s="696"/>
      <c r="AA152" s="696"/>
      <c r="AB152" s="696"/>
      <c r="AC152" s="696"/>
      <c r="AD152" s="697"/>
      <c r="AE152" s="622"/>
      <c r="AF152" s="623"/>
      <c r="AG152" s="623"/>
      <c r="AH152" s="624"/>
      <c r="AI152" s="628"/>
      <c r="AJ152" s="629"/>
      <c r="AK152" s="629"/>
      <c r="AL152" s="629"/>
      <c r="AM152" s="629"/>
      <c r="AN152" s="629"/>
      <c r="AO152" s="629"/>
      <c r="AP152" s="630"/>
    </row>
    <row r="153" spans="1:45" ht="16.5" x14ac:dyDescent="0.4">
      <c r="B153" s="586"/>
      <c r="C153" s="590"/>
      <c r="D153" s="591"/>
      <c r="E153" s="592"/>
      <c r="F153" s="625"/>
      <c r="G153" s="626"/>
      <c r="H153" s="626"/>
      <c r="I153" s="627"/>
      <c r="J153" s="692"/>
      <c r="K153" s="693"/>
      <c r="L153" s="693"/>
      <c r="M153" s="693"/>
      <c r="N153" s="693"/>
      <c r="O153" s="693"/>
      <c r="P153" s="694"/>
      <c r="Q153" s="631"/>
      <c r="R153" s="633"/>
      <c r="S153" s="100"/>
      <c r="T153" s="101"/>
      <c r="U153" s="100"/>
      <c r="V153" s="631"/>
      <c r="W153" s="633"/>
      <c r="X153" s="698"/>
      <c r="Y153" s="699"/>
      <c r="Z153" s="699"/>
      <c r="AA153" s="699"/>
      <c r="AB153" s="699"/>
      <c r="AC153" s="699"/>
      <c r="AD153" s="700"/>
      <c r="AE153" s="625"/>
      <c r="AF153" s="626"/>
      <c r="AG153" s="626"/>
      <c r="AH153" s="627"/>
      <c r="AI153" s="631"/>
      <c r="AJ153" s="632"/>
      <c r="AK153" s="632"/>
      <c r="AL153" s="632"/>
      <c r="AM153" s="632"/>
      <c r="AN153" s="632"/>
      <c r="AO153" s="632"/>
      <c r="AP153" s="633"/>
    </row>
    <row r="154" spans="1:45" ht="20.25" thickBot="1" x14ac:dyDescent="0.45">
      <c r="A154" s="102"/>
      <c r="B154" s="103"/>
      <c r="C154" s="104"/>
      <c r="D154" s="104"/>
      <c r="E154" s="104"/>
      <c r="F154" s="103"/>
      <c r="G154" s="103"/>
      <c r="H154" s="103"/>
      <c r="I154" s="103"/>
      <c r="J154" s="103"/>
      <c r="K154" s="105"/>
      <c r="L154" s="105"/>
      <c r="M154" s="106"/>
      <c r="N154" s="107"/>
      <c r="O154" s="106"/>
      <c r="P154" s="105"/>
      <c r="Q154" s="105"/>
      <c r="R154" s="103"/>
      <c r="S154" s="103"/>
      <c r="T154" s="103"/>
      <c r="U154" s="103"/>
      <c r="V154" s="103"/>
      <c r="W154" s="108"/>
      <c r="X154" s="108"/>
      <c r="Y154" s="108"/>
      <c r="Z154" s="108"/>
      <c r="AA154" s="108"/>
      <c r="AB154" s="108"/>
      <c r="AC154" s="102"/>
    </row>
    <row r="155" spans="1:45" ht="20.25" thickBot="1" x14ac:dyDescent="0.45">
      <c r="D155" s="664" t="s">
        <v>8</v>
      </c>
      <c r="E155" s="665"/>
      <c r="F155" s="665"/>
      <c r="G155" s="665"/>
      <c r="H155" s="665"/>
      <c r="I155" s="666"/>
      <c r="J155" s="667" t="s">
        <v>5</v>
      </c>
      <c r="K155" s="665"/>
      <c r="L155" s="665"/>
      <c r="M155" s="665"/>
      <c r="N155" s="665"/>
      <c r="O155" s="665"/>
      <c r="P155" s="665"/>
      <c r="Q155" s="666"/>
      <c r="R155" s="668" t="s">
        <v>9</v>
      </c>
      <c r="S155" s="669"/>
      <c r="T155" s="669"/>
      <c r="U155" s="669"/>
      <c r="V155" s="669"/>
      <c r="W155" s="669"/>
      <c r="X155" s="669"/>
      <c r="Y155" s="669"/>
      <c r="Z155" s="670"/>
      <c r="AA155" s="609" t="s">
        <v>10</v>
      </c>
      <c r="AB155" s="610"/>
      <c r="AC155" s="671"/>
      <c r="AD155" s="609" t="s">
        <v>11</v>
      </c>
      <c r="AE155" s="610"/>
      <c r="AF155" s="610"/>
      <c r="AG155" s="610"/>
      <c r="AH155" s="610"/>
      <c r="AI155" s="610"/>
      <c r="AJ155" s="610"/>
      <c r="AK155" s="610"/>
      <c r="AL155" s="610"/>
      <c r="AM155" s="611"/>
    </row>
    <row r="156" spans="1:45" ht="27.75" customHeight="1" x14ac:dyDescent="0.4">
      <c r="D156" s="651" t="s">
        <v>298</v>
      </c>
      <c r="E156" s="652"/>
      <c r="F156" s="652"/>
      <c r="G156" s="652"/>
      <c r="H156" s="652"/>
      <c r="I156" s="653"/>
      <c r="J156" s="654"/>
      <c r="K156" s="652"/>
      <c r="L156" s="652"/>
      <c r="M156" s="652"/>
      <c r="N156" s="652"/>
      <c r="O156" s="652"/>
      <c r="P156" s="652"/>
      <c r="Q156" s="653"/>
      <c r="R156" s="655"/>
      <c r="S156" s="656"/>
      <c r="T156" s="656"/>
      <c r="U156" s="656"/>
      <c r="V156" s="656"/>
      <c r="W156" s="656"/>
      <c r="X156" s="656"/>
      <c r="Y156" s="656"/>
      <c r="Z156" s="657"/>
      <c r="AA156" s="658"/>
      <c r="AB156" s="659"/>
      <c r="AC156" s="660"/>
      <c r="AD156" s="661"/>
      <c r="AE156" s="662"/>
      <c r="AF156" s="662"/>
      <c r="AG156" s="662"/>
      <c r="AH156" s="662"/>
      <c r="AI156" s="662"/>
      <c r="AJ156" s="662"/>
      <c r="AK156" s="662"/>
      <c r="AL156" s="662"/>
      <c r="AM156" s="663"/>
    </row>
    <row r="157" spans="1:45" ht="27.75" customHeight="1" x14ac:dyDescent="0.4">
      <c r="D157" s="688" t="s">
        <v>12</v>
      </c>
      <c r="E157" s="604"/>
      <c r="F157" s="604"/>
      <c r="G157" s="604"/>
      <c r="H157" s="604"/>
      <c r="I157" s="605"/>
      <c r="J157" s="603"/>
      <c r="K157" s="604"/>
      <c r="L157" s="604"/>
      <c r="M157" s="604"/>
      <c r="N157" s="604"/>
      <c r="O157" s="604"/>
      <c r="P157" s="604"/>
      <c r="Q157" s="605"/>
      <c r="R157" s="606"/>
      <c r="S157" s="607"/>
      <c r="T157" s="607"/>
      <c r="U157" s="607"/>
      <c r="V157" s="607"/>
      <c r="W157" s="607"/>
      <c r="X157" s="607"/>
      <c r="Y157" s="607"/>
      <c r="Z157" s="608"/>
      <c r="AA157" s="606"/>
      <c r="AB157" s="607"/>
      <c r="AC157" s="608"/>
      <c r="AD157" s="672"/>
      <c r="AE157" s="673"/>
      <c r="AF157" s="673"/>
      <c r="AG157" s="673"/>
      <c r="AH157" s="673"/>
      <c r="AI157" s="673"/>
      <c r="AJ157" s="673"/>
      <c r="AK157" s="673"/>
      <c r="AL157" s="673"/>
      <c r="AM157" s="674"/>
    </row>
    <row r="158" spans="1:45" ht="27.75" customHeight="1" thickBot="1" x14ac:dyDescent="0.45">
      <c r="D158" s="675" t="s">
        <v>12</v>
      </c>
      <c r="E158" s="676"/>
      <c r="F158" s="676"/>
      <c r="G158" s="676"/>
      <c r="H158" s="676"/>
      <c r="I158" s="677"/>
      <c r="J158" s="678"/>
      <c r="K158" s="676"/>
      <c r="L158" s="676"/>
      <c r="M158" s="676"/>
      <c r="N158" s="676"/>
      <c r="O158" s="676"/>
      <c r="P158" s="676"/>
      <c r="Q158" s="677"/>
      <c r="R158" s="679"/>
      <c r="S158" s="680"/>
      <c r="T158" s="680"/>
      <c r="U158" s="680"/>
      <c r="V158" s="680"/>
      <c r="W158" s="680"/>
      <c r="X158" s="680"/>
      <c r="Y158" s="680"/>
      <c r="Z158" s="681"/>
      <c r="AA158" s="682"/>
      <c r="AB158" s="683"/>
      <c r="AC158" s="684"/>
      <c r="AD158" s="685"/>
      <c r="AE158" s="686"/>
      <c r="AF158" s="686"/>
      <c r="AG158" s="686"/>
      <c r="AH158" s="686"/>
      <c r="AI158" s="686"/>
      <c r="AJ158" s="686"/>
      <c r="AK158" s="686"/>
      <c r="AL158" s="686"/>
      <c r="AM158" s="687"/>
    </row>
    <row r="159" spans="1:45" ht="15.75" customHeight="1" x14ac:dyDescent="0.4"/>
    <row r="160" spans="1:45" ht="27.75" customHeight="1" x14ac:dyDescent="0.4">
      <c r="A160" s="115"/>
      <c r="B160" s="599" t="str">
        <f>U12組合せ!$B$1</f>
        <v>ＪＦＡ　Ｕ-１２サッカーリーグ2021（in栃木） 宇都宮地区リーグ戦（前期）</v>
      </c>
      <c r="C160" s="599"/>
      <c r="D160" s="599"/>
      <c r="E160" s="599"/>
      <c r="F160" s="599"/>
      <c r="G160" s="599"/>
      <c r="H160" s="599"/>
      <c r="I160" s="599"/>
      <c r="J160" s="599"/>
      <c r="K160" s="599"/>
      <c r="L160" s="599"/>
      <c r="M160" s="599"/>
      <c r="N160" s="599"/>
      <c r="O160" s="599"/>
      <c r="P160" s="599"/>
      <c r="Q160" s="599"/>
      <c r="R160" s="599"/>
      <c r="S160" s="599"/>
      <c r="T160" s="599"/>
      <c r="U160" s="599"/>
      <c r="V160" s="599"/>
      <c r="W160" s="599"/>
      <c r="X160" s="599"/>
      <c r="Y160" s="599"/>
      <c r="Z160" s="599"/>
      <c r="AA160" s="599"/>
      <c r="AB160" s="599"/>
      <c r="AC160" s="612" t="str">
        <f>"【"&amp;(U12組合せ!$H$3)&amp;"】"</f>
        <v>【Ｃ ブロック】</v>
      </c>
      <c r="AD160" s="612"/>
      <c r="AE160" s="612"/>
      <c r="AF160" s="612"/>
      <c r="AG160" s="612"/>
      <c r="AH160" s="612"/>
      <c r="AI160" s="612"/>
      <c r="AJ160" s="612"/>
      <c r="AK160" s="602" t="str">
        <f>"第"&amp;(U12組合せ!$D$27)</f>
        <v>第２節</v>
      </c>
      <c r="AL160" s="602"/>
      <c r="AM160" s="602"/>
      <c r="AN160" s="602"/>
      <c r="AO160" s="602"/>
      <c r="AP160" s="597" t="s">
        <v>333</v>
      </c>
      <c r="AQ160" s="598"/>
    </row>
    <row r="161" spans="1:45" ht="15" customHeight="1" x14ac:dyDescent="0.4">
      <c r="A161" s="115"/>
      <c r="B161" s="599"/>
      <c r="C161" s="599"/>
      <c r="D161" s="599"/>
      <c r="E161" s="599"/>
      <c r="F161" s="599"/>
      <c r="G161" s="599"/>
      <c r="H161" s="599"/>
      <c r="I161" s="599"/>
      <c r="J161" s="599"/>
      <c r="K161" s="599"/>
      <c r="L161" s="599"/>
      <c r="M161" s="599"/>
      <c r="N161" s="599"/>
      <c r="O161" s="599"/>
      <c r="P161" s="599"/>
      <c r="Q161" s="599"/>
      <c r="R161" s="599"/>
      <c r="S161" s="599"/>
      <c r="T161" s="599"/>
      <c r="U161" s="599"/>
      <c r="V161" s="599"/>
      <c r="W161" s="599"/>
      <c r="X161" s="599"/>
      <c r="Y161" s="599"/>
      <c r="Z161" s="599"/>
      <c r="AA161" s="599"/>
      <c r="AB161" s="599"/>
      <c r="AC161" s="601"/>
      <c r="AD161" s="601"/>
      <c r="AE161" s="601"/>
      <c r="AF161" s="601"/>
      <c r="AG161" s="601"/>
      <c r="AH161" s="601"/>
      <c r="AI161" s="601"/>
      <c r="AJ161" s="601"/>
      <c r="AK161" s="601"/>
      <c r="AL161" s="601"/>
      <c r="AM161" s="601"/>
      <c r="AN161" s="601"/>
      <c r="AO161" s="612"/>
      <c r="AP161" s="598"/>
      <c r="AQ161" s="598"/>
    </row>
    <row r="162" spans="1:45" ht="29.25" customHeight="1" x14ac:dyDescent="0.4">
      <c r="C162" s="635" t="s">
        <v>1</v>
      </c>
      <c r="D162" s="635"/>
      <c r="E162" s="635"/>
      <c r="F162" s="635"/>
      <c r="G162" s="725" t="str">
        <f>U12対戦スケジュール!O45</f>
        <v>石井 5 AM</v>
      </c>
      <c r="H162" s="726"/>
      <c r="I162" s="726"/>
      <c r="J162" s="726"/>
      <c r="K162" s="726"/>
      <c r="L162" s="726"/>
      <c r="M162" s="726"/>
      <c r="N162" s="726"/>
      <c r="O162" s="727"/>
      <c r="P162" s="635" t="s">
        <v>0</v>
      </c>
      <c r="Q162" s="635"/>
      <c r="R162" s="635"/>
      <c r="S162" s="635"/>
      <c r="T162" s="725" t="str">
        <f>E166</f>
        <v>リフレSCチェルビアット</v>
      </c>
      <c r="U162" s="726"/>
      <c r="V162" s="726"/>
      <c r="W162" s="726"/>
      <c r="X162" s="726"/>
      <c r="Y162" s="726"/>
      <c r="Z162" s="726"/>
      <c r="AA162" s="726"/>
      <c r="AB162" s="727"/>
      <c r="AC162" s="635" t="s">
        <v>2</v>
      </c>
      <c r="AD162" s="635"/>
      <c r="AE162" s="635"/>
      <c r="AF162" s="635"/>
      <c r="AG162" s="618">
        <f>U12組合せ!B$27</f>
        <v>44310</v>
      </c>
      <c r="AH162" s="619"/>
      <c r="AI162" s="619"/>
      <c r="AJ162" s="619"/>
      <c r="AK162" s="619"/>
      <c r="AL162" s="619"/>
      <c r="AM162" s="620" t="str">
        <f>"（"&amp;TEXT(AG162,"aaa")&amp;"）"</f>
        <v>（土）</v>
      </c>
      <c r="AN162" s="620"/>
      <c r="AO162" s="621"/>
      <c r="AP162" s="116"/>
      <c r="AR162" s="96">
        <f>172/2</f>
        <v>86</v>
      </c>
    </row>
    <row r="163" spans="1:45" ht="17.25" customHeight="1" x14ac:dyDescent="0.4">
      <c r="C163" s="96" t="str">
        <f>U12組合せ!I32</f>
        <v>C348</v>
      </c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95"/>
      <c r="X163" s="95"/>
      <c r="Y163" s="95"/>
      <c r="Z163" s="95"/>
      <c r="AA163" s="95"/>
      <c r="AB163" s="95"/>
      <c r="AC163" s="95"/>
      <c r="AR163" s="96">
        <v>47</v>
      </c>
    </row>
    <row r="164" spans="1:45" ht="30.75" customHeight="1" x14ac:dyDescent="0.4">
      <c r="C164" s="637">
        <v>1</v>
      </c>
      <c r="D164" s="637"/>
      <c r="E164" s="584" t="str">
        <f>VLOOKUP(C164,U12組合せ!B$10:K$19,7,TRUE)</f>
        <v>FCアリーバ</v>
      </c>
      <c r="F164" s="584"/>
      <c r="G164" s="584"/>
      <c r="H164" s="584"/>
      <c r="I164" s="584"/>
      <c r="J164" s="584"/>
      <c r="K164" s="584"/>
      <c r="L164" s="584"/>
      <c r="M164" s="584"/>
      <c r="N164" s="584"/>
      <c r="O164" s="94"/>
      <c r="P164" s="94"/>
      <c r="Q164" s="636">
        <v>4</v>
      </c>
      <c r="R164" s="636"/>
      <c r="S164" s="709" t="str">
        <f>VLOOKUP(Q164,U12組合せ!B$10:K$19,7,TRUE)</f>
        <v>ともぞうSC　U11</v>
      </c>
      <c r="T164" s="709"/>
      <c r="U164" s="709"/>
      <c r="V164" s="709"/>
      <c r="W164" s="709"/>
      <c r="X164" s="709"/>
      <c r="Y164" s="709"/>
      <c r="Z164" s="709"/>
      <c r="AA164" s="709"/>
      <c r="AB164" s="709"/>
      <c r="AC164" s="92"/>
      <c r="AD164" s="93"/>
      <c r="AE164" s="637">
        <v>7</v>
      </c>
      <c r="AF164" s="637"/>
      <c r="AG164" s="584" t="str">
        <f>VLOOKUP(AE164,U12組合せ!B$10:'U12組合せ'!K$19,7,TRUE)</f>
        <v>雀宮FC</v>
      </c>
      <c r="AH164" s="584"/>
      <c r="AI164" s="584"/>
      <c r="AJ164" s="584"/>
      <c r="AK164" s="584"/>
      <c r="AL164" s="584"/>
      <c r="AM164" s="584"/>
      <c r="AN164" s="584"/>
      <c r="AO164" s="584"/>
      <c r="AP164" s="584"/>
      <c r="AR164" s="96">
        <f>AR162-AR163</f>
        <v>39</v>
      </c>
    </row>
    <row r="165" spans="1:45" ht="30.75" customHeight="1" x14ac:dyDescent="0.4">
      <c r="C165" s="637">
        <v>2</v>
      </c>
      <c r="D165" s="637"/>
      <c r="E165" s="584" t="str">
        <f>VLOOKUP(C165,U12組合せ!B$10:K$19,7,TRUE)</f>
        <v>カテット白沢SS</v>
      </c>
      <c r="F165" s="584"/>
      <c r="G165" s="584"/>
      <c r="H165" s="584"/>
      <c r="I165" s="584"/>
      <c r="J165" s="584"/>
      <c r="K165" s="584"/>
      <c r="L165" s="584"/>
      <c r="M165" s="584"/>
      <c r="N165" s="584"/>
      <c r="O165" s="94"/>
      <c r="P165" s="94"/>
      <c r="Q165" s="637">
        <v>5</v>
      </c>
      <c r="R165" s="637"/>
      <c r="S165" s="584" t="str">
        <f>VLOOKUP(Q165,U12組合せ!B$10:K$19,7,TRUE)</f>
        <v>豊郷JFC宇都宮U-12</v>
      </c>
      <c r="T165" s="584"/>
      <c r="U165" s="584"/>
      <c r="V165" s="584"/>
      <c r="W165" s="584"/>
      <c r="X165" s="584"/>
      <c r="Y165" s="584"/>
      <c r="Z165" s="584"/>
      <c r="AA165" s="584"/>
      <c r="AB165" s="584"/>
      <c r="AC165" s="92"/>
      <c r="AD165" s="93"/>
      <c r="AE165" s="636">
        <v>8</v>
      </c>
      <c r="AF165" s="636"/>
      <c r="AG165" s="709" t="str">
        <f>VLOOKUP(AE165,U12組合せ!B$10:'U12組合せ'!K$19,7,TRUE)</f>
        <v>FCみらいP</v>
      </c>
      <c r="AH165" s="709"/>
      <c r="AI165" s="709"/>
      <c r="AJ165" s="709"/>
      <c r="AK165" s="709"/>
      <c r="AL165" s="709"/>
      <c r="AM165" s="709"/>
      <c r="AN165" s="709"/>
      <c r="AO165" s="709"/>
      <c r="AP165" s="709"/>
    </row>
    <row r="166" spans="1:45" ht="30.75" customHeight="1" x14ac:dyDescent="0.4">
      <c r="C166" s="636">
        <v>3</v>
      </c>
      <c r="D166" s="636"/>
      <c r="E166" s="709" t="str">
        <f>VLOOKUP(C166,U12組合せ!B$10:K$19,7,TRUE)</f>
        <v>リフレSCチェルビアット</v>
      </c>
      <c r="F166" s="709"/>
      <c r="G166" s="709"/>
      <c r="H166" s="709"/>
      <c r="I166" s="709"/>
      <c r="J166" s="709"/>
      <c r="K166" s="709"/>
      <c r="L166" s="709"/>
      <c r="M166" s="709"/>
      <c r="N166" s="709"/>
      <c r="O166" s="94"/>
      <c r="P166" s="94"/>
      <c r="Q166" s="637">
        <v>6</v>
      </c>
      <c r="R166" s="637"/>
      <c r="S166" s="584" t="str">
        <f>VLOOKUP(Q166,U12組合せ!B$10:K$19,7,TRUE)</f>
        <v>シャルムグランツSC</v>
      </c>
      <c r="T166" s="584"/>
      <c r="U166" s="584"/>
      <c r="V166" s="584"/>
      <c r="W166" s="584"/>
      <c r="X166" s="584"/>
      <c r="Y166" s="584"/>
      <c r="Z166" s="584"/>
      <c r="AA166" s="584"/>
      <c r="AB166" s="584"/>
      <c r="AC166" s="92"/>
      <c r="AD166" s="93"/>
      <c r="AE166" s="637">
        <v>9</v>
      </c>
      <c r="AF166" s="637"/>
      <c r="AG166" s="584" t="str">
        <f>VLOOKUP(AE166,U12組合せ!B$10:'U12組合せ'!K$19,7,TRUE)</f>
        <v>みはらSC jr</v>
      </c>
      <c r="AH166" s="584"/>
      <c r="AI166" s="584"/>
      <c r="AJ166" s="584"/>
      <c r="AK166" s="584"/>
      <c r="AL166" s="584"/>
      <c r="AM166" s="584"/>
      <c r="AN166" s="584"/>
      <c r="AO166" s="584"/>
      <c r="AP166" s="584"/>
    </row>
    <row r="167" spans="1:45" ht="12" customHeight="1" x14ac:dyDescent="0.4">
      <c r="C167" s="121"/>
      <c r="D167" s="121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94"/>
      <c r="P167" s="94"/>
      <c r="Q167" s="123"/>
      <c r="R167" s="123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92"/>
      <c r="AD167" s="93"/>
      <c r="AE167" s="123"/>
      <c r="AF167" s="123"/>
      <c r="AG167" s="124"/>
      <c r="AH167" s="124"/>
      <c r="AI167" s="124"/>
      <c r="AJ167" s="124"/>
      <c r="AK167" s="124"/>
      <c r="AL167" s="124"/>
      <c r="AM167" s="124"/>
      <c r="AN167" s="124"/>
      <c r="AO167" s="124"/>
      <c r="AP167" s="124"/>
    </row>
    <row r="168" spans="1:45" ht="12" customHeight="1" x14ac:dyDescent="0.4">
      <c r="B168" s="102"/>
      <c r="O168" s="102"/>
      <c r="P168" s="102"/>
      <c r="AC168" s="95"/>
      <c r="AD168" s="102"/>
      <c r="AE168" s="102"/>
      <c r="AF168" s="102"/>
      <c r="AG168" s="102"/>
    </row>
    <row r="169" spans="1:45" ht="12" customHeight="1" x14ac:dyDescent="0.4">
      <c r="C169" s="117"/>
      <c r="D169" s="118"/>
      <c r="E169" s="118"/>
      <c r="F169" s="118"/>
      <c r="G169" s="118"/>
      <c r="H169" s="118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18"/>
      <c r="U169" s="102"/>
      <c r="V169" s="118"/>
      <c r="W169" s="102"/>
      <c r="X169" s="118"/>
      <c r="Y169" s="102"/>
      <c r="Z169" s="118"/>
      <c r="AA169" s="102"/>
      <c r="AB169" s="118"/>
      <c r="AC169" s="118"/>
    </row>
    <row r="170" spans="1:45" ht="21.75" customHeight="1" x14ac:dyDescent="0.4">
      <c r="B170" s="118" t="str">
        <f ca="1">IF(B172="①","【監督会議 8：20～】","【監督会議 12：50～】")</f>
        <v>【監督会議 8：20～】</v>
      </c>
      <c r="I170" s="96" t="s">
        <v>330</v>
      </c>
    </row>
    <row r="171" spans="1:45" ht="19.5" customHeight="1" x14ac:dyDescent="0.4">
      <c r="B171" s="97"/>
      <c r="C171" s="711" t="s">
        <v>3</v>
      </c>
      <c r="D171" s="711"/>
      <c r="E171" s="711"/>
      <c r="F171" s="712" t="s">
        <v>4</v>
      </c>
      <c r="G171" s="712"/>
      <c r="H171" s="712"/>
      <c r="I171" s="712"/>
      <c r="J171" s="711" t="s">
        <v>5</v>
      </c>
      <c r="K171" s="713"/>
      <c r="L171" s="713"/>
      <c r="M171" s="713"/>
      <c r="N171" s="713"/>
      <c r="O171" s="713"/>
      <c r="P171" s="713"/>
      <c r="Q171" s="711" t="s">
        <v>32</v>
      </c>
      <c r="R171" s="711"/>
      <c r="S171" s="711"/>
      <c r="T171" s="711"/>
      <c r="U171" s="711"/>
      <c r="V171" s="711"/>
      <c r="W171" s="711"/>
      <c r="X171" s="711" t="s">
        <v>5</v>
      </c>
      <c r="Y171" s="713"/>
      <c r="Z171" s="713"/>
      <c r="AA171" s="713"/>
      <c r="AB171" s="713"/>
      <c r="AC171" s="713"/>
      <c r="AD171" s="713"/>
      <c r="AE171" s="712" t="s">
        <v>4</v>
      </c>
      <c r="AF171" s="712"/>
      <c r="AG171" s="712"/>
      <c r="AH171" s="712"/>
      <c r="AI171" s="711" t="s">
        <v>6</v>
      </c>
      <c r="AJ171" s="711"/>
      <c r="AK171" s="713"/>
      <c r="AL171" s="713"/>
      <c r="AM171" s="713"/>
      <c r="AN171" s="713"/>
      <c r="AO171" s="713"/>
      <c r="AP171" s="713"/>
    </row>
    <row r="172" spans="1:45" ht="19.5" customHeight="1" x14ac:dyDescent="0.4">
      <c r="B172" s="644" t="str">
        <f ca="1">DBCS(INDIRECT("U12対戦スケジュール!m"&amp;(ROW())/2-AR$164))</f>
        <v>①</v>
      </c>
      <c r="C172" s="645">
        <f ca="1">INDIRECT("U12対戦スケジュール!n"&amp;(ROW())/2-AR$164)</f>
        <v>0.375</v>
      </c>
      <c r="D172" s="646"/>
      <c r="E172" s="647"/>
      <c r="F172" s="583"/>
      <c r="G172" s="583"/>
      <c r="H172" s="583"/>
      <c r="I172" s="583"/>
      <c r="J172" s="746" t="str">
        <f ca="1">VLOOKUP(AR172,U12組合せ!B$10:K$19,7,TRUE)</f>
        <v>リフレSCチェルビアット</v>
      </c>
      <c r="K172" s="747"/>
      <c r="L172" s="747"/>
      <c r="M172" s="747"/>
      <c r="N172" s="747"/>
      <c r="O172" s="747"/>
      <c r="P172" s="747"/>
      <c r="Q172" s="628">
        <f>IF(OR(S172="",S173=""),"",S172+S173)</f>
        <v>2</v>
      </c>
      <c r="R172" s="630"/>
      <c r="S172" s="100">
        <v>0</v>
      </c>
      <c r="T172" s="101" t="s">
        <v>7</v>
      </c>
      <c r="U172" s="100">
        <v>0</v>
      </c>
      <c r="V172" s="628">
        <f>IF(OR(U172="",U173=""),"",U172+U173)</f>
        <v>2</v>
      </c>
      <c r="W172" s="630"/>
      <c r="X172" s="746" t="str">
        <f ca="1">VLOOKUP(AS172,U12組合せ!B$10:K$19,7,TRUE)</f>
        <v>ともぞうSC　U11</v>
      </c>
      <c r="Y172" s="747"/>
      <c r="Z172" s="747"/>
      <c r="AA172" s="747"/>
      <c r="AB172" s="747"/>
      <c r="AC172" s="747"/>
      <c r="AD172" s="747"/>
      <c r="AE172" s="583"/>
      <c r="AF172" s="583"/>
      <c r="AG172" s="583"/>
      <c r="AH172" s="583"/>
      <c r="AI172" s="758" t="str">
        <f ca="1">DBCS(INDIRECT("U12対戦スケジュール!r"&amp;(ROW())/2-AR$164))</f>
        <v>８／３／４／８</v>
      </c>
      <c r="AJ172" s="759"/>
      <c r="AK172" s="759"/>
      <c r="AL172" s="759"/>
      <c r="AM172" s="759"/>
      <c r="AN172" s="759"/>
      <c r="AO172" s="759"/>
      <c r="AP172" s="760"/>
      <c r="AR172" s="119">
        <f ca="1">INDIRECT("U12対戦スケジュール!o"&amp;(ROW())/2-AR$164)</f>
        <v>3</v>
      </c>
      <c r="AS172" s="119">
        <f ca="1">INDIRECT("U12対戦スケジュール!q"&amp;(ROW())/2-AR$164)</f>
        <v>4</v>
      </c>
    </row>
    <row r="173" spans="1:45" ht="19.5" customHeight="1" x14ac:dyDescent="0.4">
      <c r="B173" s="644"/>
      <c r="C173" s="648"/>
      <c r="D173" s="649"/>
      <c r="E173" s="650"/>
      <c r="F173" s="583"/>
      <c r="G173" s="583"/>
      <c r="H173" s="583"/>
      <c r="I173" s="583"/>
      <c r="J173" s="747"/>
      <c r="K173" s="747"/>
      <c r="L173" s="747"/>
      <c r="M173" s="747"/>
      <c r="N173" s="747"/>
      <c r="O173" s="747"/>
      <c r="P173" s="747"/>
      <c r="Q173" s="631"/>
      <c r="R173" s="633"/>
      <c r="S173" s="100">
        <v>2</v>
      </c>
      <c r="T173" s="101" t="s">
        <v>7</v>
      </c>
      <c r="U173" s="100">
        <v>2</v>
      </c>
      <c r="V173" s="631"/>
      <c r="W173" s="633"/>
      <c r="X173" s="747"/>
      <c r="Y173" s="747"/>
      <c r="Z173" s="747"/>
      <c r="AA173" s="747"/>
      <c r="AB173" s="747"/>
      <c r="AC173" s="747"/>
      <c r="AD173" s="747"/>
      <c r="AE173" s="583"/>
      <c r="AF173" s="583"/>
      <c r="AG173" s="583"/>
      <c r="AH173" s="583"/>
      <c r="AI173" s="761"/>
      <c r="AJ173" s="762"/>
      <c r="AK173" s="762"/>
      <c r="AL173" s="762"/>
      <c r="AM173" s="762"/>
      <c r="AN173" s="762"/>
      <c r="AO173" s="762"/>
      <c r="AP173" s="763"/>
      <c r="AR173" s="119"/>
      <c r="AS173" s="119"/>
    </row>
    <row r="174" spans="1:45" ht="19.5" customHeight="1" x14ac:dyDescent="0.4">
      <c r="B174" s="644" t="str">
        <f t="shared" ref="B174" ca="1" si="6">DBCS(INDIRECT("U12対戦スケジュール!m"&amp;(ROW())/2-AR$164))</f>
        <v>②</v>
      </c>
      <c r="C174" s="645">
        <f t="shared" ref="C174" ca="1" si="7">INDIRECT("U12対戦スケジュール!n"&amp;(ROW())/2-AR$164)</f>
        <v>0.41699999999999998</v>
      </c>
      <c r="D174" s="646"/>
      <c r="E174" s="647"/>
      <c r="F174" s="583"/>
      <c r="G174" s="583"/>
      <c r="H174" s="583"/>
      <c r="I174" s="583"/>
      <c r="J174" s="746" t="str">
        <f ca="1">VLOOKUP(AR174,U12組合せ!B$10:K$19,7,TRUE)</f>
        <v>FCみらいP</v>
      </c>
      <c r="K174" s="747"/>
      <c r="L174" s="747"/>
      <c r="M174" s="747"/>
      <c r="N174" s="747"/>
      <c r="O174" s="747"/>
      <c r="P174" s="747"/>
      <c r="Q174" s="634">
        <f>IF(OR(S174="",S175=""),"",S174+S175)</f>
        <v>1</v>
      </c>
      <c r="R174" s="634"/>
      <c r="S174" s="100">
        <v>0</v>
      </c>
      <c r="T174" s="101" t="s">
        <v>7</v>
      </c>
      <c r="U174" s="100">
        <v>2</v>
      </c>
      <c r="V174" s="634">
        <f>IF(OR(U174="",U175=""),"",U174+U175)</f>
        <v>2</v>
      </c>
      <c r="W174" s="634"/>
      <c r="X174" s="746" t="str">
        <f ca="1">VLOOKUP(AS174,U12組合せ!B$10:K$19,7,TRUE)</f>
        <v>ともぞうSC　U11</v>
      </c>
      <c r="Y174" s="747"/>
      <c r="Z174" s="747"/>
      <c r="AA174" s="747"/>
      <c r="AB174" s="747"/>
      <c r="AC174" s="747"/>
      <c r="AD174" s="747"/>
      <c r="AE174" s="583"/>
      <c r="AF174" s="583"/>
      <c r="AG174" s="583"/>
      <c r="AH174" s="583"/>
      <c r="AI174" s="758" t="str">
        <f ca="1">DBCS(INDIRECT("U12対戦スケジュール!r"&amp;(ROW())/2-AR$164))</f>
        <v>３／４／８／３</v>
      </c>
      <c r="AJ174" s="759"/>
      <c r="AK174" s="759"/>
      <c r="AL174" s="759"/>
      <c r="AM174" s="759"/>
      <c r="AN174" s="759"/>
      <c r="AO174" s="759"/>
      <c r="AP174" s="760"/>
      <c r="AR174" s="119">
        <f ca="1">INDIRECT("U12対戦スケジュール!o"&amp;(ROW())/2-AR$164)</f>
        <v>8</v>
      </c>
      <c r="AS174" s="119">
        <f ca="1">INDIRECT("U12対戦スケジュール!q"&amp;(ROW())/2-AR$164)</f>
        <v>4</v>
      </c>
    </row>
    <row r="175" spans="1:45" ht="19.5" customHeight="1" x14ac:dyDescent="0.4">
      <c r="B175" s="644"/>
      <c r="C175" s="648"/>
      <c r="D175" s="649"/>
      <c r="E175" s="650"/>
      <c r="F175" s="583"/>
      <c r="G175" s="583"/>
      <c r="H175" s="583"/>
      <c r="I175" s="583"/>
      <c r="J175" s="747"/>
      <c r="K175" s="747"/>
      <c r="L175" s="747"/>
      <c r="M175" s="747"/>
      <c r="N175" s="747"/>
      <c r="O175" s="747"/>
      <c r="P175" s="747"/>
      <c r="Q175" s="634"/>
      <c r="R175" s="634"/>
      <c r="S175" s="100">
        <v>1</v>
      </c>
      <c r="T175" s="101" t="s">
        <v>7</v>
      </c>
      <c r="U175" s="100">
        <v>0</v>
      </c>
      <c r="V175" s="634"/>
      <c r="W175" s="634"/>
      <c r="X175" s="747"/>
      <c r="Y175" s="747"/>
      <c r="Z175" s="747"/>
      <c r="AA175" s="747"/>
      <c r="AB175" s="747"/>
      <c r="AC175" s="747"/>
      <c r="AD175" s="747"/>
      <c r="AE175" s="583"/>
      <c r="AF175" s="583"/>
      <c r="AG175" s="583"/>
      <c r="AH175" s="583"/>
      <c r="AI175" s="761"/>
      <c r="AJ175" s="762"/>
      <c r="AK175" s="762"/>
      <c r="AL175" s="762"/>
      <c r="AM175" s="762"/>
      <c r="AN175" s="762"/>
      <c r="AO175" s="762"/>
      <c r="AP175" s="763"/>
      <c r="AR175" s="119"/>
      <c r="AS175" s="119"/>
    </row>
    <row r="176" spans="1:45" ht="19.5" customHeight="1" x14ac:dyDescent="0.4">
      <c r="B176" s="644" t="str">
        <f t="shared" ref="B176" ca="1" si="8">DBCS(INDIRECT("U12対戦スケジュール!m"&amp;(ROW())/2-AR$164))</f>
        <v>③</v>
      </c>
      <c r="C176" s="645">
        <f t="shared" ref="C176" ca="1" si="9">INDIRECT("U12対戦スケジュール!n"&amp;(ROW())/2-AR$164)</f>
        <v>0.45899999999999996</v>
      </c>
      <c r="D176" s="646"/>
      <c r="E176" s="647"/>
      <c r="F176" s="583"/>
      <c r="G176" s="583"/>
      <c r="H176" s="583"/>
      <c r="I176" s="583"/>
      <c r="J176" s="746" t="str">
        <f ca="1">VLOOKUP(AR176,U12組合せ!B$10:K$19,7,TRUE)</f>
        <v>FCみらいP</v>
      </c>
      <c r="K176" s="747"/>
      <c r="L176" s="747"/>
      <c r="M176" s="747"/>
      <c r="N176" s="747"/>
      <c r="O176" s="747"/>
      <c r="P176" s="747"/>
      <c r="Q176" s="634">
        <f>IF(OR(S176="",S177=""),"",S176+S177)</f>
        <v>3</v>
      </c>
      <c r="R176" s="634"/>
      <c r="S176" s="100">
        <v>2</v>
      </c>
      <c r="T176" s="101" t="s">
        <v>7</v>
      </c>
      <c r="U176" s="100">
        <v>3</v>
      </c>
      <c r="V176" s="634">
        <f>IF(OR(U176="",U177=""),"",U176+U177)</f>
        <v>3</v>
      </c>
      <c r="W176" s="634"/>
      <c r="X176" s="746" t="str">
        <f ca="1">VLOOKUP(AS176,U12組合せ!B$10:K$19,7,TRUE)</f>
        <v>リフレSCチェルビアット</v>
      </c>
      <c r="Y176" s="747"/>
      <c r="Z176" s="747"/>
      <c r="AA176" s="747"/>
      <c r="AB176" s="747"/>
      <c r="AC176" s="747"/>
      <c r="AD176" s="747"/>
      <c r="AE176" s="583"/>
      <c r="AF176" s="583"/>
      <c r="AG176" s="583"/>
      <c r="AH176" s="583"/>
      <c r="AI176" s="758" t="str">
        <f ca="1">DBCS(INDIRECT("U12対戦スケジュール!r"&amp;(ROW())/2-AR$164))</f>
        <v>４／８／３／４</v>
      </c>
      <c r="AJ176" s="759"/>
      <c r="AK176" s="759"/>
      <c r="AL176" s="759"/>
      <c r="AM176" s="759"/>
      <c r="AN176" s="759"/>
      <c r="AO176" s="759"/>
      <c r="AP176" s="760"/>
      <c r="AR176" s="119">
        <f ca="1">INDIRECT("U12対戦スケジュール!o"&amp;(ROW())/2-AR$164)</f>
        <v>8</v>
      </c>
      <c r="AS176" s="119">
        <f ca="1">INDIRECT("U12対戦スケジュール!q"&amp;(ROW())/2-AR$164)</f>
        <v>3</v>
      </c>
    </row>
    <row r="177" spans="1:45" ht="19.5" customHeight="1" x14ac:dyDescent="0.4">
      <c r="B177" s="644"/>
      <c r="C177" s="648"/>
      <c r="D177" s="649"/>
      <c r="E177" s="650"/>
      <c r="F177" s="583"/>
      <c r="G177" s="583"/>
      <c r="H177" s="583"/>
      <c r="I177" s="583"/>
      <c r="J177" s="747"/>
      <c r="K177" s="747"/>
      <c r="L177" s="747"/>
      <c r="M177" s="747"/>
      <c r="N177" s="747"/>
      <c r="O177" s="747"/>
      <c r="P177" s="747"/>
      <c r="Q177" s="634"/>
      <c r="R177" s="634"/>
      <c r="S177" s="100">
        <v>1</v>
      </c>
      <c r="T177" s="101" t="s">
        <v>7</v>
      </c>
      <c r="U177" s="100">
        <v>0</v>
      </c>
      <c r="V177" s="634"/>
      <c r="W177" s="634"/>
      <c r="X177" s="747"/>
      <c r="Y177" s="747"/>
      <c r="Z177" s="747"/>
      <c r="AA177" s="747"/>
      <c r="AB177" s="747"/>
      <c r="AC177" s="747"/>
      <c r="AD177" s="747"/>
      <c r="AE177" s="583"/>
      <c r="AF177" s="583"/>
      <c r="AG177" s="583"/>
      <c r="AH177" s="583"/>
      <c r="AI177" s="761"/>
      <c r="AJ177" s="762"/>
      <c r="AK177" s="762"/>
      <c r="AL177" s="762"/>
      <c r="AM177" s="762"/>
      <c r="AN177" s="762"/>
      <c r="AO177" s="762"/>
      <c r="AP177" s="763"/>
      <c r="AR177" s="119"/>
      <c r="AS177" s="119"/>
    </row>
    <row r="178" spans="1:45" ht="19.5" customHeight="1" x14ac:dyDescent="0.4">
      <c r="B178" s="586"/>
      <c r="C178" s="739"/>
      <c r="D178" s="740"/>
      <c r="E178" s="741"/>
      <c r="F178" s="704"/>
      <c r="G178" s="704"/>
      <c r="H178" s="704"/>
      <c r="I178" s="704"/>
      <c r="J178" s="701"/>
      <c r="K178" s="702"/>
      <c r="L178" s="702"/>
      <c r="M178" s="702"/>
      <c r="N178" s="702"/>
      <c r="O178" s="702"/>
      <c r="P178" s="702"/>
      <c r="Q178" s="705"/>
      <c r="R178" s="705"/>
      <c r="S178" s="109"/>
      <c r="T178" s="110"/>
      <c r="U178" s="109"/>
      <c r="V178" s="705"/>
      <c r="W178" s="705"/>
      <c r="X178" s="701"/>
      <c r="Y178" s="702"/>
      <c r="Z178" s="702"/>
      <c r="AA178" s="702"/>
      <c r="AB178" s="702"/>
      <c r="AC178" s="702"/>
      <c r="AD178" s="702"/>
      <c r="AE178" s="704"/>
      <c r="AF178" s="704"/>
      <c r="AG178" s="704"/>
      <c r="AH178" s="704"/>
      <c r="AI178" s="706"/>
      <c r="AJ178" s="707"/>
      <c r="AK178" s="707"/>
      <c r="AL178" s="707"/>
      <c r="AM178" s="707"/>
      <c r="AN178" s="707"/>
      <c r="AO178" s="707"/>
      <c r="AP178" s="707"/>
      <c r="AR178" s="119"/>
      <c r="AS178" s="119"/>
    </row>
    <row r="179" spans="1:45" ht="19.5" customHeight="1" x14ac:dyDescent="0.4">
      <c r="B179" s="644"/>
      <c r="C179" s="648"/>
      <c r="D179" s="649"/>
      <c r="E179" s="650"/>
      <c r="F179" s="583"/>
      <c r="G179" s="583"/>
      <c r="H179" s="583"/>
      <c r="I179" s="583"/>
      <c r="J179" s="703"/>
      <c r="K179" s="703"/>
      <c r="L179" s="703"/>
      <c r="M179" s="703"/>
      <c r="N179" s="703"/>
      <c r="O179" s="703"/>
      <c r="P179" s="703"/>
      <c r="Q179" s="634"/>
      <c r="R179" s="634"/>
      <c r="S179" s="100"/>
      <c r="T179" s="101"/>
      <c r="U179" s="100"/>
      <c r="V179" s="634"/>
      <c r="W179" s="634"/>
      <c r="X179" s="703"/>
      <c r="Y179" s="703"/>
      <c r="Z179" s="703"/>
      <c r="AA179" s="703"/>
      <c r="AB179" s="703"/>
      <c r="AC179" s="703"/>
      <c r="AD179" s="703"/>
      <c r="AE179" s="583"/>
      <c r="AF179" s="583"/>
      <c r="AG179" s="583"/>
      <c r="AH179" s="583"/>
      <c r="AI179" s="708"/>
      <c r="AJ179" s="708"/>
      <c r="AK179" s="708"/>
      <c r="AL179" s="708"/>
      <c r="AM179" s="708"/>
      <c r="AN179" s="708"/>
      <c r="AO179" s="708"/>
      <c r="AP179" s="708"/>
      <c r="AR179" s="119"/>
      <c r="AS179" s="119"/>
    </row>
    <row r="180" spans="1:45" ht="19.5" customHeight="1" x14ac:dyDescent="0.4">
      <c r="B180" s="585"/>
      <c r="C180" s="587"/>
      <c r="D180" s="588"/>
      <c r="E180" s="589"/>
      <c r="F180" s="622"/>
      <c r="G180" s="623"/>
      <c r="H180" s="623"/>
      <c r="I180" s="624"/>
      <c r="J180" s="689"/>
      <c r="K180" s="690"/>
      <c r="L180" s="690"/>
      <c r="M180" s="690"/>
      <c r="N180" s="690"/>
      <c r="O180" s="690"/>
      <c r="P180" s="691"/>
      <c r="Q180" s="628"/>
      <c r="R180" s="630"/>
      <c r="S180" s="100"/>
      <c r="T180" s="101"/>
      <c r="U180" s="100"/>
      <c r="V180" s="628"/>
      <c r="W180" s="630"/>
      <c r="X180" s="695"/>
      <c r="Y180" s="696"/>
      <c r="Z180" s="696"/>
      <c r="AA180" s="696"/>
      <c r="AB180" s="696"/>
      <c r="AC180" s="696"/>
      <c r="AD180" s="697"/>
      <c r="AE180" s="622"/>
      <c r="AF180" s="623"/>
      <c r="AG180" s="623"/>
      <c r="AH180" s="624"/>
      <c r="AI180" s="628"/>
      <c r="AJ180" s="629"/>
      <c r="AK180" s="629"/>
      <c r="AL180" s="629"/>
      <c r="AM180" s="629"/>
      <c r="AN180" s="629"/>
      <c r="AO180" s="629"/>
      <c r="AP180" s="630"/>
    </row>
    <row r="181" spans="1:45" ht="19.5" customHeight="1" x14ac:dyDescent="0.4">
      <c r="B181" s="586"/>
      <c r="C181" s="590"/>
      <c r="D181" s="591"/>
      <c r="E181" s="592"/>
      <c r="F181" s="625"/>
      <c r="G181" s="626"/>
      <c r="H181" s="626"/>
      <c r="I181" s="627"/>
      <c r="J181" s="692"/>
      <c r="K181" s="693"/>
      <c r="L181" s="693"/>
      <c r="M181" s="693"/>
      <c r="N181" s="693"/>
      <c r="O181" s="693"/>
      <c r="P181" s="694"/>
      <c r="Q181" s="631"/>
      <c r="R181" s="633"/>
      <c r="S181" s="100"/>
      <c r="T181" s="101"/>
      <c r="U181" s="100"/>
      <c r="V181" s="631"/>
      <c r="W181" s="633"/>
      <c r="X181" s="698"/>
      <c r="Y181" s="699"/>
      <c r="Z181" s="699"/>
      <c r="AA181" s="699"/>
      <c r="AB181" s="699"/>
      <c r="AC181" s="699"/>
      <c r="AD181" s="700"/>
      <c r="AE181" s="625"/>
      <c r="AF181" s="626"/>
      <c r="AG181" s="626"/>
      <c r="AH181" s="627"/>
      <c r="AI181" s="631"/>
      <c r="AJ181" s="632"/>
      <c r="AK181" s="632"/>
      <c r="AL181" s="632"/>
      <c r="AM181" s="632"/>
      <c r="AN181" s="632"/>
      <c r="AO181" s="632"/>
      <c r="AP181" s="633"/>
    </row>
    <row r="182" spans="1:45" ht="19.5" customHeight="1" x14ac:dyDescent="0.4">
      <c r="B182" s="585"/>
      <c r="C182" s="587"/>
      <c r="D182" s="588"/>
      <c r="E182" s="589"/>
      <c r="F182" s="622"/>
      <c r="G182" s="623"/>
      <c r="H182" s="623"/>
      <c r="I182" s="624"/>
      <c r="J182" s="689"/>
      <c r="K182" s="690"/>
      <c r="L182" s="690"/>
      <c r="M182" s="690"/>
      <c r="N182" s="690"/>
      <c r="O182" s="690"/>
      <c r="P182" s="691"/>
      <c r="Q182" s="628"/>
      <c r="R182" s="630"/>
      <c r="S182" s="100"/>
      <c r="T182" s="101"/>
      <c r="U182" s="100"/>
      <c r="V182" s="628"/>
      <c r="W182" s="630"/>
      <c r="X182" s="695"/>
      <c r="Y182" s="696"/>
      <c r="Z182" s="696"/>
      <c r="AA182" s="696"/>
      <c r="AB182" s="696"/>
      <c r="AC182" s="696"/>
      <c r="AD182" s="697"/>
      <c r="AE182" s="622"/>
      <c r="AF182" s="623"/>
      <c r="AG182" s="623"/>
      <c r="AH182" s="624"/>
      <c r="AI182" s="628"/>
      <c r="AJ182" s="629"/>
      <c r="AK182" s="629"/>
      <c r="AL182" s="629"/>
      <c r="AM182" s="629"/>
      <c r="AN182" s="629"/>
      <c r="AO182" s="629"/>
      <c r="AP182" s="630"/>
    </row>
    <row r="183" spans="1:45" ht="19.5" customHeight="1" x14ac:dyDescent="0.4">
      <c r="B183" s="586"/>
      <c r="C183" s="590"/>
      <c r="D183" s="591"/>
      <c r="E183" s="592"/>
      <c r="F183" s="625"/>
      <c r="G183" s="626"/>
      <c r="H183" s="626"/>
      <c r="I183" s="627"/>
      <c r="J183" s="692"/>
      <c r="K183" s="693"/>
      <c r="L183" s="693"/>
      <c r="M183" s="693"/>
      <c r="N183" s="693"/>
      <c r="O183" s="693"/>
      <c r="P183" s="694"/>
      <c r="Q183" s="631"/>
      <c r="R183" s="633"/>
      <c r="S183" s="100"/>
      <c r="T183" s="101"/>
      <c r="U183" s="100"/>
      <c r="V183" s="631"/>
      <c r="W183" s="633"/>
      <c r="X183" s="698"/>
      <c r="Y183" s="699"/>
      <c r="Z183" s="699"/>
      <c r="AA183" s="699"/>
      <c r="AB183" s="699"/>
      <c r="AC183" s="699"/>
      <c r="AD183" s="700"/>
      <c r="AE183" s="625"/>
      <c r="AF183" s="626"/>
      <c r="AG183" s="626"/>
      <c r="AH183" s="627"/>
      <c r="AI183" s="631"/>
      <c r="AJ183" s="632"/>
      <c r="AK183" s="632"/>
      <c r="AL183" s="632"/>
      <c r="AM183" s="632"/>
      <c r="AN183" s="632"/>
      <c r="AO183" s="632"/>
      <c r="AP183" s="633"/>
    </row>
    <row r="184" spans="1:45" ht="16.5" x14ac:dyDescent="0.4">
      <c r="B184" s="585"/>
      <c r="C184" s="587"/>
      <c r="D184" s="588"/>
      <c r="E184" s="589"/>
      <c r="F184" s="622"/>
      <c r="G184" s="623"/>
      <c r="H184" s="623"/>
      <c r="I184" s="624"/>
      <c r="J184" s="689"/>
      <c r="K184" s="690"/>
      <c r="L184" s="690"/>
      <c r="M184" s="690"/>
      <c r="N184" s="690"/>
      <c r="O184" s="690"/>
      <c r="P184" s="691"/>
      <c r="Q184" s="628"/>
      <c r="R184" s="630"/>
      <c r="S184" s="100"/>
      <c r="T184" s="101"/>
      <c r="U184" s="100"/>
      <c r="V184" s="628"/>
      <c r="W184" s="630"/>
      <c r="X184" s="695"/>
      <c r="Y184" s="696"/>
      <c r="Z184" s="696"/>
      <c r="AA184" s="696"/>
      <c r="AB184" s="696"/>
      <c r="AC184" s="696"/>
      <c r="AD184" s="697"/>
      <c r="AE184" s="622"/>
      <c r="AF184" s="623"/>
      <c r="AG184" s="623"/>
      <c r="AH184" s="624"/>
      <c r="AI184" s="628"/>
      <c r="AJ184" s="629"/>
      <c r="AK184" s="629"/>
      <c r="AL184" s="629"/>
      <c r="AM184" s="629"/>
      <c r="AN184" s="629"/>
      <c r="AO184" s="629"/>
      <c r="AP184" s="630"/>
    </row>
    <row r="185" spans="1:45" ht="16.5" x14ac:dyDescent="0.4">
      <c r="B185" s="586"/>
      <c r="C185" s="590"/>
      <c r="D185" s="591"/>
      <c r="E185" s="592"/>
      <c r="F185" s="625"/>
      <c r="G185" s="626"/>
      <c r="H185" s="626"/>
      <c r="I185" s="627"/>
      <c r="J185" s="692"/>
      <c r="K185" s="693"/>
      <c r="L185" s="693"/>
      <c r="M185" s="693"/>
      <c r="N185" s="693"/>
      <c r="O185" s="693"/>
      <c r="P185" s="694"/>
      <c r="Q185" s="631"/>
      <c r="R185" s="633"/>
      <c r="S185" s="100"/>
      <c r="T185" s="101"/>
      <c r="U185" s="100"/>
      <c r="V185" s="631"/>
      <c r="W185" s="633"/>
      <c r="X185" s="698"/>
      <c r="Y185" s="699"/>
      <c r="Z185" s="699"/>
      <c r="AA185" s="699"/>
      <c r="AB185" s="699"/>
      <c r="AC185" s="699"/>
      <c r="AD185" s="700"/>
      <c r="AE185" s="625"/>
      <c r="AF185" s="626"/>
      <c r="AG185" s="626"/>
      <c r="AH185" s="627"/>
      <c r="AI185" s="631"/>
      <c r="AJ185" s="632"/>
      <c r="AK185" s="632"/>
      <c r="AL185" s="632"/>
      <c r="AM185" s="632"/>
      <c r="AN185" s="632"/>
      <c r="AO185" s="632"/>
      <c r="AP185" s="633"/>
    </row>
    <row r="186" spans="1:45" ht="20.25" thickBot="1" x14ac:dyDescent="0.45">
      <c r="A186" s="102"/>
      <c r="B186" s="103"/>
      <c r="C186" s="104"/>
      <c r="D186" s="104"/>
      <c r="E186" s="104"/>
      <c r="F186" s="103"/>
      <c r="G186" s="103"/>
      <c r="H186" s="103"/>
      <c r="I186" s="103"/>
      <c r="J186" s="103"/>
      <c r="K186" s="105"/>
      <c r="L186" s="105"/>
      <c r="M186" s="106"/>
      <c r="N186" s="107"/>
      <c r="O186" s="106"/>
      <c r="P186" s="105"/>
      <c r="Q186" s="105"/>
      <c r="R186" s="103"/>
      <c r="S186" s="103"/>
      <c r="T186" s="103"/>
      <c r="U186" s="103"/>
      <c r="V186" s="103"/>
      <c r="W186" s="108"/>
      <c r="X186" s="108"/>
      <c r="Y186" s="108"/>
      <c r="Z186" s="108"/>
      <c r="AA186" s="108"/>
      <c r="AB186" s="108"/>
      <c r="AC186" s="102"/>
    </row>
    <row r="187" spans="1:45" ht="20.25" thickBot="1" x14ac:dyDescent="0.45">
      <c r="D187" s="664" t="s">
        <v>8</v>
      </c>
      <c r="E187" s="665"/>
      <c r="F187" s="665"/>
      <c r="G187" s="665"/>
      <c r="H187" s="665"/>
      <c r="I187" s="666"/>
      <c r="J187" s="667" t="s">
        <v>5</v>
      </c>
      <c r="K187" s="665"/>
      <c r="L187" s="665"/>
      <c r="M187" s="665"/>
      <c r="N187" s="665"/>
      <c r="O187" s="665"/>
      <c r="P187" s="665"/>
      <c r="Q187" s="666"/>
      <c r="R187" s="668" t="s">
        <v>9</v>
      </c>
      <c r="S187" s="669"/>
      <c r="T187" s="669"/>
      <c r="U187" s="669"/>
      <c r="V187" s="669"/>
      <c r="W187" s="669"/>
      <c r="X187" s="669"/>
      <c r="Y187" s="669"/>
      <c r="Z187" s="670"/>
      <c r="AA187" s="609" t="s">
        <v>10</v>
      </c>
      <c r="AB187" s="610"/>
      <c r="AC187" s="671"/>
      <c r="AD187" s="609" t="s">
        <v>11</v>
      </c>
      <c r="AE187" s="610"/>
      <c r="AF187" s="610"/>
      <c r="AG187" s="610"/>
      <c r="AH187" s="610"/>
      <c r="AI187" s="610"/>
      <c r="AJ187" s="610"/>
      <c r="AK187" s="610"/>
      <c r="AL187" s="610"/>
      <c r="AM187" s="611"/>
    </row>
    <row r="188" spans="1:45" ht="28.5" customHeight="1" x14ac:dyDescent="0.4">
      <c r="D188" s="651" t="s">
        <v>298</v>
      </c>
      <c r="E188" s="652"/>
      <c r="F188" s="652"/>
      <c r="G188" s="652"/>
      <c r="H188" s="652"/>
      <c r="I188" s="653"/>
      <c r="J188" s="654"/>
      <c r="K188" s="652"/>
      <c r="L188" s="652"/>
      <c r="M188" s="652"/>
      <c r="N188" s="652"/>
      <c r="O188" s="652"/>
      <c r="P188" s="652"/>
      <c r="Q188" s="653"/>
      <c r="R188" s="655"/>
      <c r="S188" s="656"/>
      <c r="T188" s="656"/>
      <c r="U188" s="656"/>
      <c r="V188" s="656"/>
      <c r="W188" s="656"/>
      <c r="X188" s="656"/>
      <c r="Y188" s="656"/>
      <c r="Z188" s="657"/>
      <c r="AA188" s="658"/>
      <c r="AB188" s="659"/>
      <c r="AC188" s="660"/>
      <c r="AD188" s="661"/>
      <c r="AE188" s="662"/>
      <c r="AF188" s="662"/>
      <c r="AG188" s="662"/>
      <c r="AH188" s="662"/>
      <c r="AI188" s="662"/>
      <c r="AJ188" s="662"/>
      <c r="AK188" s="662"/>
      <c r="AL188" s="662"/>
      <c r="AM188" s="663"/>
    </row>
    <row r="189" spans="1:45" ht="28.5" customHeight="1" x14ac:dyDescent="0.4">
      <c r="D189" s="688" t="s">
        <v>12</v>
      </c>
      <c r="E189" s="604"/>
      <c r="F189" s="604"/>
      <c r="G189" s="604"/>
      <c r="H189" s="604"/>
      <c r="I189" s="605"/>
      <c r="J189" s="603"/>
      <c r="K189" s="604"/>
      <c r="L189" s="604"/>
      <c r="M189" s="604"/>
      <c r="N189" s="604"/>
      <c r="O189" s="604"/>
      <c r="P189" s="604"/>
      <c r="Q189" s="605"/>
      <c r="R189" s="606"/>
      <c r="S189" s="607"/>
      <c r="T189" s="607"/>
      <c r="U189" s="607"/>
      <c r="V189" s="607"/>
      <c r="W189" s="607"/>
      <c r="X189" s="607"/>
      <c r="Y189" s="607"/>
      <c r="Z189" s="608"/>
      <c r="AA189" s="606"/>
      <c r="AB189" s="607"/>
      <c r="AC189" s="608"/>
      <c r="AD189" s="672"/>
      <c r="AE189" s="673"/>
      <c r="AF189" s="673"/>
      <c r="AG189" s="673"/>
      <c r="AH189" s="673"/>
      <c r="AI189" s="673"/>
      <c r="AJ189" s="673"/>
      <c r="AK189" s="673"/>
      <c r="AL189" s="673"/>
      <c r="AM189" s="674"/>
    </row>
    <row r="190" spans="1:45" ht="28.5" customHeight="1" thickBot="1" x14ac:dyDescent="0.45">
      <c r="D190" s="675" t="s">
        <v>12</v>
      </c>
      <c r="E190" s="676"/>
      <c r="F190" s="676"/>
      <c r="G190" s="676"/>
      <c r="H190" s="676"/>
      <c r="I190" s="677"/>
      <c r="J190" s="678"/>
      <c r="K190" s="676"/>
      <c r="L190" s="676"/>
      <c r="M190" s="676"/>
      <c r="N190" s="676"/>
      <c r="O190" s="676"/>
      <c r="P190" s="676"/>
      <c r="Q190" s="677"/>
      <c r="R190" s="679"/>
      <c r="S190" s="680"/>
      <c r="T190" s="680"/>
      <c r="U190" s="680"/>
      <c r="V190" s="680"/>
      <c r="W190" s="680"/>
      <c r="X190" s="680"/>
      <c r="Y190" s="680"/>
      <c r="Z190" s="681"/>
      <c r="AA190" s="682"/>
      <c r="AB190" s="683"/>
      <c r="AC190" s="684"/>
      <c r="AD190" s="685"/>
      <c r="AE190" s="686"/>
      <c r="AF190" s="686"/>
      <c r="AG190" s="686"/>
      <c r="AH190" s="686"/>
      <c r="AI190" s="686"/>
      <c r="AJ190" s="686"/>
      <c r="AK190" s="686"/>
      <c r="AL190" s="686"/>
      <c r="AM190" s="687"/>
    </row>
    <row r="192" spans="1:45" ht="27.75" customHeight="1" x14ac:dyDescent="0.4">
      <c r="A192" s="115"/>
      <c r="B192" s="599" t="str">
        <f>U12組合せ!$B$1</f>
        <v>ＪＦＡ　Ｕ-１２サッカーリーグ2021（in栃木） 宇都宮地区リーグ戦（前期）</v>
      </c>
      <c r="C192" s="599"/>
      <c r="D192" s="599"/>
      <c r="E192" s="599"/>
      <c r="F192" s="599"/>
      <c r="G192" s="599"/>
      <c r="H192" s="599"/>
      <c r="I192" s="599"/>
      <c r="J192" s="599"/>
      <c r="K192" s="599"/>
      <c r="L192" s="599"/>
      <c r="M192" s="599"/>
      <c r="N192" s="599"/>
      <c r="O192" s="599"/>
      <c r="P192" s="599"/>
      <c r="Q192" s="599"/>
      <c r="R192" s="599"/>
      <c r="S192" s="599"/>
      <c r="T192" s="599"/>
      <c r="U192" s="599"/>
      <c r="V192" s="599"/>
      <c r="W192" s="599"/>
      <c r="X192" s="599"/>
      <c r="Y192" s="599"/>
      <c r="Z192" s="599"/>
      <c r="AA192" s="599"/>
      <c r="AB192" s="599"/>
      <c r="AC192" s="612" t="str">
        <f>"【"&amp;(U12組合せ!$H$3)&amp;"】"</f>
        <v>【Ｃ ブロック】</v>
      </c>
      <c r="AD192" s="612"/>
      <c r="AE192" s="612"/>
      <c r="AF192" s="612"/>
      <c r="AG192" s="612"/>
      <c r="AH192" s="612"/>
      <c r="AI192" s="612"/>
      <c r="AJ192" s="612"/>
      <c r="AK192" s="602" t="str">
        <f>"第"&amp;(U12組合せ!$D$33)</f>
        <v>第３節</v>
      </c>
      <c r="AL192" s="602"/>
      <c r="AM192" s="602"/>
      <c r="AN192" s="602"/>
      <c r="AO192" s="602"/>
      <c r="AP192" s="597" t="s">
        <v>331</v>
      </c>
      <c r="AQ192" s="598"/>
    </row>
    <row r="193" spans="1:45" ht="15" customHeight="1" x14ac:dyDescent="0.4">
      <c r="A193" s="115"/>
      <c r="B193" s="599"/>
      <c r="C193" s="599"/>
      <c r="D193" s="599"/>
      <c r="E193" s="599"/>
      <c r="F193" s="599"/>
      <c r="G193" s="599"/>
      <c r="H193" s="599"/>
      <c r="I193" s="599"/>
      <c r="J193" s="599"/>
      <c r="K193" s="599"/>
      <c r="L193" s="599"/>
      <c r="M193" s="599"/>
      <c r="N193" s="599"/>
      <c r="O193" s="599"/>
      <c r="P193" s="599"/>
      <c r="Q193" s="599"/>
      <c r="R193" s="599"/>
      <c r="S193" s="599"/>
      <c r="T193" s="599"/>
      <c r="U193" s="599"/>
      <c r="V193" s="599"/>
      <c r="W193" s="599"/>
      <c r="X193" s="599"/>
      <c r="Y193" s="599"/>
      <c r="Z193" s="599"/>
      <c r="AA193" s="599"/>
      <c r="AB193" s="599"/>
      <c r="AC193" s="601"/>
      <c r="AD193" s="601"/>
      <c r="AE193" s="601"/>
      <c r="AF193" s="601"/>
      <c r="AG193" s="601"/>
      <c r="AH193" s="601"/>
      <c r="AI193" s="601"/>
      <c r="AJ193" s="601"/>
      <c r="AK193" s="601"/>
      <c r="AL193" s="601"/>
      <c r="AM193" s="601"/>
      <c r="AN193" s="601"/>
      <c r="AO193" s="612"/>
      <c r="AP193" s="598"/>
      <c r="AQ193" s="598"/>
    </row>
    <row r="194" spans="1:45" ht="29.25" customHeight="1" x14ac:dyDescent="0.4">
      <c r="C194" s="635" t="s">
        <v>1</v>
      </c>
      <c r="D194" s="635"/>
      <c r="E194" s="635"/>
      <c r="F194" s="635"/>
      <c r="G194" s="725" t="str">
        <f>U12対戦スケジュール!O54</f>
        <v>石井 6 AM</v>
      </c>
      <c r="H194" s="726"/>
      <c r="I194" s="726"/>
      <c r="J194" s="726"/>
      <c r="K194" s="726"/>
      <c r="L194" s="726"/>
      <c r="M194" s="726"/>
      <c r="N194" s="726"/>
      <c r="O194" s="727"/>
      <c r="P194" s="635" t="s">
        <v>0</v>
      </c>
      <c r="Q194" s="635"/>
      <c r="R194" s="635"/>
      <c r="S194" s="635"/>
      <c r="T194" s="725" t="str">
        <f>S198</f>
        <v>FCみらいP</v>
      </c>
      <c r="U194" s="726"/>
      <c r="V194" s="726"/>
      <c r="W194" s="726"/>
      <c r="X194" s="726"/>
      <c r="Y194" s="726"/>
      <c r="Z194" s="726"/>
      <c r="AA194" s="726"/>
      <c r="AB194" s="727"/>
      <c r="AC194" s="635" t="s">
        <v>2</v>
      </c>
      <c r="AD194" s="635"/>
      <c r="AE194" s="635"/>
      <c r="AF194" s="635"/>
      <c r="AG194" s="618">
        <f>U12組合せ!B$33</f>
        <v>44325</v>
      </c>
      <c r="AH194" s="619"/>
      <c r="AI194" s="619"/>
      <c r="AJ194" s="619"/>
      <c r="AK194" s="619"/>
      <c r="AL194" s="619"/>
      <c r="AM194" s="620" t="str">
        <f>"（"&amp;TEXT(AG194,"aaa")&amp;"）"</f>
        <v>（日）</v>
      </c>
      <c r="AN194" s="620"/>
      <c r="AO194" s="621"/>
      <c r="AP194" s="116"/>
      <c r="AR194" s="96">
        <f>204/2</f>
        <v>102</v>
      </c>
    </row>
    <row r="195" spans="1:45" ht="17.25" customHeight="1" x14ac:dyDescent="0.4">
      <c r="C195" s="96" t="str">
        <f>U12組合せ!I34</f>
        <v>C168</v>
      </c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95"/>
      <c r="X195" s="95"/>
      <c r="Y195" s="95"/>
      <c r="Z195" s="95"/>
      <c r="AA195" s="95"/>
      <c r="AB195" s="95"/>
      <c r="AC195" s="95"/>
      <c r="AR195" s="96">
        <v>56</v>
      </c>
    </row>
    <row r="196" spans="1:45" ht="30.75" customHeight="1" x14ac:dyDescent="0.4">
      <c r="C196" s="636" t="s">
        <v>510</v>
      </c>
      <c r="D196" s="636"/>
      <c r="E196" s="709" t="s">
        <v>524</v>
      </c>
      <c r="F196" s="709"/>
      <c r="G196" s="709"/>
      <c r="H196" s="709"/>
      <c r="I196" s="709"/>
      <c r="J196" s="709"/>
      <c r="K196" s="709"/>
      <c r="L196" s="709"/>
      <c r="M196" s="709"/>
      <c r="N196" s="709"/>
      <c r="O196" s="94"/>
      <c r="P196" s="94"/>
      <c r="Q196" s="636" t="s">
        <v>472</v>
      </c>
      <c r="R196" s="636"/>
      <c r="S196" s="709" t="s">
        <v>504</v>
      </c>
      <c r="T196" s="709"/>
      <c r="U196" s="709"/>
      <c r="V196" s="709"/>
      <c r="W196" s="709"/>
      <c r="X196" s="709"/>
      <c r="Y196" s="709"/>
      <c r="Z196" s="709"/>
      <c r="AA196" s="709"/>
      <c r="AB196" s="709"/>
      <c r="AC196" s="92"/>
      <c r="AD196" s="93"/>
      <c r="AE196" s="710" t="s">
        <v>496</v>
      </c>
      <c r="AF196" s="710"/>
      <c r="AG196" s="638" t="s">
        <v>479</v>
      </c>
      <c r="AH196" s="638"/>
      <c r="AI196" s="638"/>
      <c r="AJ196" s="638"/>
      <c r="AK196" s="638"/>
      <c r="AL196" s="638"/>
      <c r="AM196" s="638"/>
      <c r="AN196" s="638"/>
      <c r="AO196" s="638"/>
      <c r="AP196" s="638"/>
      <c r="AR196" s="96">
        <f>AR194-AR195</f>
        <v>46</v>
      </c>
    </row>
    <row r="197" spans="1:45" ht="30.75" customHeight="1" x14ac:dyDescent="0.4">
      <c r="C197" s="637" t="s">
        <v>464</v>
      </c>
      <c r="D197" s="637"/>
      <c r="E197" s="584" t="s">
        <v>526</v>
      </c>
      <c r="F197" s="584"/>
      <c r="G197" s="584"/>
      <c r="H197" s="584"/>
      <c r="I197" s="584"/>
      <c r="J197" s="584"/>
      <c r="K197" s="584"/>
      <c r="L197" s="584"/>
      <c r="M197" s="584"/>
      <c r="N197" s="584"/>
      <c r="O197" s="94"/>
      <c r="P197" s="94"/>
      <c r="Q197" s="637" t="s">
        <v>533</v>
      </c>
      <c r="R197" s="637"/>
      <c r="S197" s="584" t="s">
        <v>528</v>
      </c>
      <c r="T197" s="584"/>
      <c r="U197" s="584"/>
      <c r="V197" s="584"/>
      <c r="W197" s="584"/>
      <c r="X197" s="584"/>
      <c r="Y197" s="584"/>
      <c r="Z197" s="584"/>
      <c r="AA197" s="584"/>
      <c r="AB197" s="584"/>
      <c r="AC197" s="92"/>
      <c r="AD197" s="93"/>
      <c r="AE197" s="710" t="s">
        <v>498</v>
      </c>
      <c r="AF197" s="710"/>
      <c r="AG197" s="638" t="s">
        <v>480</v>
      </c>
      <c r="AH197" s="638"/>
      <c r="AI197" s="638"/>
      <c r="AJ197" s="638"/>
      <c r="AK197" s="638"/>
      <c r="AL197" s="638"/>
      <c r="AM197" s="638"/>
      <c r="AN197" s="638"/>
      <c r="AO197" s="638"/>
      <c r="AP197" s="638"/>
    </row>
    <row r="198" spans="1:45" ht="30.75" customHeight="1" x14ac:dyDescent="0.4">
      <c r="C198" s="637" t="s">
        <v>531</v>
      </c>
      <c r="D198" s="637"/>
      <c r="E198" s="584" t="s">
        <v>527</v>
      </c>
      <c r="F198" s="584"/>
      <c r="G198" s="584"/>
      <c r="H198" s="584"/>
      <c r="I198" s="584"/>
      <c r="J198" s="584"/>
      <c r="K198" s="584"/>
      <c r="L198" s="584"/>
      <c r="M198" s="584"/>
      <c r="N198" s="584"/>
      <c r="O198" s="94"/>
      <c r="P198" s="94"/>
      <c r="Q198" s="636" t="s">
        <v>511</v>
      </c>
      <c r="R198" s="636"/>
      <c r="S198" s="709" t="s">
        <v>529</v>
      </c>
      <c r="T198" s="709"/>
      <c r="U198" s="709"/>
      <c r="V198" s="709"/>
      <c r="W198" s="709"/>
      <c r="X198" s="709"/>
      <c r="Y198" s="709"/>
      <c r="Z198" s="709"/>
      <c r="AA198" s="709"/>
      <c r="AB198" s="709"/>
      <c r="AC198" s="92"/>
      <c r="AD198" s="93"/>
      <c r="AE198" s="710" t="s">
        <v>521</v>
      </c>
      <c r="AF198" s="710"/>
      <c r="AG198" s="638" t="s">
        <v>555</v>
      </c>
      <c r="AH198" s="638"/>
      <c r="AI198" s="638"/>
      <c r="AJ198" s="638"/>
      <c r="AK198" s="638"/>
      <c r="AL198" s="638"/>
      <c r="AM198" s="638"/>
      <c r="AN198" s="638"/>
      <c r="AO198" s="638"/>
      <c r="AP198" s="638"/>
    </row>
    <row r="199" spans="1:45" ht="35.25" customHeight="1" x14ac:dyDescent="0.4">
      <c r="C199" s="637" t="s">
        <v>467</v>
      </c>
      <c r="D199" s="637"/>
      <c r="E199" s="584" t="s">
        <v>503</v>
      </c>
      <c r="F199" s="584"/>
      <c r="G199" s="584"/>
      <c r="H199" s="584"/>
      <c r="I199" s="584"/>
      <c r="J199" s="584"/>
      <c r="K199" s="584"/>
      <c r="L199" s="584"/>
      <c r="M199" s="584"/>
      <c r="N199" s="584"/>
      <c r="O199" s="94"/>
      <c r="P199" s="94"/>
      <c r="Q199" s="637" t="s">
        <v>534</v>
      </c>
      <c r="R199" s="637"/>
      <c r="S199" s="584" t="s">
        <v>530</v>
      </c>
      <c r="T199" s="584"/>
      <c r="U199" s="584"/>
      <c r="V199" s="584"/>
      <c r="W199" s="584"/>
      <c r="X199" s="584"/>
      <c r="Y199" s="584"/>
      <c r="Z199" s="584"/>
      <c r="AA199" s="584"/>
      <c r="AB199" s="584"/>
      <c r="AC199" s="92"/>
      <c r="AD199" s="93"/>
      <c r="AE199" s="710" t="s">
        <v>523</v>
      </c>
      <c r="AF199" s="710"/>
      <c r="AG199" s="638" t="s">
        <v>557</v>
      </c>
      <c r="AH199" s="638"/>
      <c r="AI199" s="638"/>
      <c r="AJ199" s="638"/>
      <c r="AK199" s="638"/>
      <c r="AL199" s="638"/>
      <c r="AM199" s="638"/>
      <c r="AN199" s="638"/>
      <c r="AO199" s="638"/>
      <c r="AP199" s="638"/>
    </row>
    <row r="200" spans="1:45" ht="27.75" customHeight="1" x14ac:dyDescent="0.4">
      <c r="B200" s="102"/>
      <c r="C200" s="637" t="s">
        <v>469</v>
      </c>
      <c r="D200" s="637"/>
      <c r="E200" s="584" t="s">
        <v>525</v>
      </c>
      <c r="F200" s="584"/>
      <c r="G200" s="584"/>
      <c r="H200" s="584"/>
      <c r="I200" s="584"/>
      <c r="J200" s="584"/>
      <c r="K200" s="584"/>
      <c r="L200" s="584"/>
      <c r="M200" s="584"/>
      <c r="N200" s="584"/>
      <c r="O200" s="102"/>
      <c r="P200" s="102"/>
      <c r="Q200" s="710" t="s">
        <v>490</v>
      </c>
      <c r="R200" s="710"/>
      <c r="S200" s="638" t="s">
        <v>476</v>
      </c>
      <c r="T200" s="638"/>
      <c r="U200" s="638"/>
      <c r="V200" s="638"/>
      <c r="W200" s="638"/>
      <c r="X200" s="638"/>
      <c r="Y200" s="638"/>
      <c r="Z200" s="638"/>
      <c r="AA200" s="638"/>
      <c r="AB200" s="638"/>
      <c r="AC200" s="95"/>
      <c r="AE200" s="710" t="s">
        <v>509</v>
      </c>
      <c r="AF200" s="710"/>
      <c r="AG200" s="638" t="s">
        <v>556</v>
      </c>
      <c r="AH200" s="638"/>
      <c r="AI200" s="638"/>
      <c r="AJ200" s="638"/>
      <c r="AK200" s="638"/>
      <c r="AL200" s="638"/>
      <c r="AM200" s="638"/>
      <c r="AN200" s="638"/>
      <c r="AO200" s="638"/>
      <c r="AP200" s="638"/>
      <c r="AR200" s="399"/>
    </row>
    <row r="201" spans="1:45" ht="26.25" customHeight="1" x14ac:dyDescent="0.4">
      <c r="C201" s="117"/>
      <c r="D201" s="118"/>
      <c r="E201" s="118"/>
      <c r="F201" s="118"/>
      <c r="G201" s="118"/>
      <c r="H201" s="118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18"/>
      <c r="U201" s="102"/>
      <c r="V201" s="118"/>
      <c r="W201" s="102"/>
      <c r="X201" s="391"/>
      <c r="Y201" s="102"/>
      <c r="Z201" s="118"/>
      <c r="AB201" s="118"/>
      <c r="AC201" s="118"/>
    </row>
    <row r="202" spans="1:45" ht="21.75" customHeight="1" x14ac:dyDescent="0.4">
      <c r="B202" s="118" t="str">
        <f ca="1">IF(B204="①","【監督会議 8：20～】","【監督会議 12：50～】")</f>
        <v>【監督会議 8：20～】</v>
      </c>
      <c r="I202" s="96" t="s">
        <v>330</v>
      </c>
    </row>
    <row r="203" spans="1:45" ht="19.5" customHeight="1" x14ac:dyDescent="0.4">
      <c r="B203" s="97"/>
      <c r="C203" s="711" t="s">
        <v>3</v>
      </c>
      <c r="D203" s="711"/>
      <c r="E203" s="711"/>
      <c r="F203" s="712" t="s">
        <v>4</v>
      </c>
      <c r="G203" s="712"/>
      <c r="H203" s="712"/>
      <c r="I203" s="712"/>
      <c r="J203" s="711" t="s">
        <v>5</v>
      </c>
      <c r="K203" s="713"/>
      <c r="L203" s="713"/>
      <c r="M203" s="713"/>
      <c r="N203" s="713"/>
      <c r="O203" s="713"/>
      <c r="P203" s="713"/>
      <c r="Q203" s="711" t="s">
        <v>32</v>
      </c>
      <c r="R203" s="711"/>
      <c r="S203" s="711"/>
      <c r="T203" s="711"/>
      <c r="U203" s="711"/>
      <c r="V203" s="711"/>
      <c r="W203" s="711"/>
      <c r="X203" s="711" t="s">
        <v>5</v>
      </c>
      <c r="Y203" s="713"/>
      <c r="Z203" s="713"/>
      <c r="AA203" s="713"/>
      <c r="AB203" s="713"/>
      <c r="AC203" s="713"/>
      <c r="AD203" s="713"/>
      <c r="AE203" s="712" t="s">
        <v>4</v>
      </c>
      <c r="AF203" s="712"/>
      <c r="AG203" s="712"/>
      <c r="AH203" s="712"/>
      <c r="AI203" s="711" t="s">
        <v>6</v>
      </c>
      <c r="AJ203" s="711"/>
      <c r="AK203" s="713"/>
      <c r="AL203" s="713"/>
      <c r="AM203" s="713"/>
      <c r="AN203" s="713"/>
      <c r="AO203" s="713"/>
      <c r="AP203" s="713"/>
    </row>
    <row r="204" spans="1:45" ht="19.5" customHeight="1" x14ac:dyDescent="0.4">
      <c r="B204" s="644" t="str">
        <f ca="1">DBCS(INDIRECT("U12対戦スケジュール!ｇ"&amp;(ROW())/2-AR$196))</f>
        <v>①</v>
      </c>
      <c r="C204" s="645">
        <f ca="1">INDIRECT("U12対戦スケジュール!ｈ"&amp;(ROW())/2-AR$196)</f>
        <v>0.375</v>
      </c>
      <c r="D204" s="646"/>
      <c r="E204" s="647"/>
      <c r="F204" s="583"/>
      <c r="G204" s="583"/>
      <c r="H204" s="583"/>
      <c r="I204" s="583"/>
      <c r="J204" s="746" t="str">
        <f ca="1">VLOOKUP(AR204,U12組合せ!B$10:K$19,7,TRUE)</f>
        <v>FCアリーバ</v>
      </c>
      <c r="K204" s="747"/>
      <c r="L204" s="747"/>
      <c r="M204" s="747"/>
      <c r="N204" s="747"/>
      <c r="O204" s="747"/>
      <c r="P204" s="747"/>
      <c r="Q204" s="628">
        <f>IF(OR(S204="",S205=""),"",S204+S205)</f>
        <v>5</v>
      </c>
      <c r="R204" s="630"/>
      <c r="S204" s="100">
        <v>2</v>
      </c>
      <c r="T204" s="101" t="s">
        <v>7</v>
      </c>
      <c r="U204" s="100">
        <v>1</v>
      </c>
      <c r="V204" s="628">
        <f>IF(OR(U204="",U205=""),"",U204+U205)</f>
        <v>1</v>
      </c>
      <c r="W204" s="630"/>
      <c r="X204" s="746" t="str">
        <f ca="1">VLOOKUP(AS204,U12組合せ!B$10:K$19,7,TRUE)</f>
        <v>シャルムグランツSC</v>
      </c>
      <c r="Y204" s="747"/>
      <c r="Z204" s="747"/>
      <c r="AA204" s="747"/>
      <c r="AB204" s="747"/>
      <c r="AC204" s="747"/>
      <c r="AD204" s="747"/>
      <c r="AE204" s="583"/>
      <c r="AF204" s="583"/>
      <c r="AG204" s="583"/>
      <c r="AH204" s="583"/>
      <c r="AI204" s="758" t="str">
        <f ca="1">DBCS(INDIRECT("U12対戦スケジュール!r"&amp;(ROW())/2-AR$196))</f>
        <v>Ｃ８／Ａ４／Ｂ４／Ｃ８</v>
      </c>
      <c r="AJ204" s="759"/>
      <c r="AK204" s="759"/>
      <c r="AL204" s="759"/>
      <c r="AM204" s="759"/>
      <c r="AN204" s="759"/>
      <c r="AO204" s="759"/>
      <c r="AP204" s="760"/>
      <c r="AR204" s="119">
        <f ca="1">INDIRECT("U12対戦スケジュール!o"&amp;(ROW())/2-AR$196)</f>
        <v>1</v>
      </c>
      <c r="AS204" s="119">
        <f ca="1">INDIRECT("U12対戦スケジュール!q"&amp;(ROW())/2-AR$196)</f>
        <v>6</v>
      </c>
    </row>
    <row r="205" spans="1:45" ht="19.5" customHeight="1" x14ac:dyDescent="0.4">
      <c r="B205" s="644"/>
      <c r="C205" s="648"/>
      <c r="D205" s="649"/>
      <c r="E205" s="650"/>
      <c r="F205" s="583"/>
      <c r="G205" s="583"/>
      <c r="H205" s="583"/>
      <c r="I205" s="583"/>
      <c r="J205" s="747"/>
      <c r="K205" s="747"/>
      <c r="L205" s="747"/>
      <c r="M205" s="747"/>
      <c r="N205" s="747"/>
      <c r="O205" s="747"/>
      <c r="P205" s="747"/>
      <c r="Q205" s="631"/>
      <c r="R205" s="633"/>
      <c r="S205" s="100">
        <v>3</v>
      </c>
      <c r="T205" s="101" t="s">
        <v>7</v>
      </c>
      <c r="U205" s="100">
        <v>0</v>
      </c>
      <c r="V205" s="631"/>
      <c r="W205" s="633"/>
      <c r="X205" s="747"/>
      <c r="Y205" s="747"/>
      <c r="Z205" s="747"/>
      <c r="AA205" s="747"/>
      <c r="AB205" s="747"/>
      <c r="AC205" s="747"/>
      <c r="AD205" s="747"/>
      <c r="AE205" s="583"/>
      <c r="AF205" s="583"/>
      <c r="AG205" s="583"/>
      <c r="AH205" s="583"/>
      <c r="AI205" s="761"/>
      <c r="AJ205" s="762"/>
      <c r="AK205" s="762"/>
      <c r="AL205" s="762"/>
      <c r="AM205" s="762"/>
      <c r="AN205" s="762"/>
      <c r="AO205" s="762"/>
      <c r="AP205" s="763"/>
      <c r="AR205" s="119"/>
      <c r="AS205" s="119"/>
    </row>
    <row r="206" spans="1:45" ht="19.5" customHeight="1" x14ac:dyDescent="0.4">
      <c r="B206" s="644" t="str">
        <f ca="1">DBCS(INDIRECT("U12対戦スケジュール!ｇ"&amp;(ROW())/2-AR$196))</f>
        <v>②</v>
      </c>
      <c r="C206" s="645">
        <f ca="1">INDIRECT("U12対戦スケジュール!ｈ"&amp;(ROW())/2-AR$196)</f>
        <v>0.41699999999999998</v>
      </c>
      <c r="D206" s="646"/>
      <c r="E206" s="647"/>
      <c r="F206" s="583"/>
      <c r="G206" s="583"/>
      <c r="H206" s="583"/>
      <c r="I206" s="583"/>
      <c r="J206" s="746" t="str">
        <f ca="1">VLOOKUP(AR206,U12組合せ!B$10:K$19,7,TRUE)</f>
        <v>FCみらいP</v>
      </c>
      <c r="K206" s="747"/>
      <c r="L206" s="747"/>
      <c r="M206" s="747"/>
      <c r="N206" s="747"/>
      <c r="O206" s="747"/>
      <c r="P206" s="747"/>
      <c r="Q206" s="634">
        <f>IF(OR(S206="",S207=""),"",S206+S207)</f>
        <v>6</v>
      </c>
      <c r="R206" s="634"/>
      <c r="S206" s="100">
        <v>3</v>
      </c>
      <c r="T206" s="101" t="s">
        <v>7</v>
      </c>
      <c r="U206" s="100">
        <v>0</v>
      </c>
      <c r="V206" s="634">
        <f>IF(OR(U206="",U207=""),"",U206+U207)</f>
        <v>0</v>
      </c>
      <c r="W206" s="634"/>
      <c r="X206" s="746" t="str">
        <f ca="1">VLOOKUP(AS206,U12組合せ!B$10:K$19,7,TRUE)</f>
        <v>シャルムグランツSC</v>
      </c>
      <c r="Y206" s="747"/>
      <c r="Z206" s="747"/>
      <c r="AA206" s="747"/>
      <c r="AB206" s="747"/>
      <c r="AC206" s="747"/>
      <c r="AD206" s="747"/>
      <c r="AE206" s="583"/>
      <c r="AF206" s="583"/>
      <c r="AG206" s="583"/>
      <c r="AH206" s="583"/>
      <c r="AI206" s="758" t="str">
        <f ca="1">DBCS(INDIRECT("U12対戦スケジュール!r"&amp;(ROW())/2-AR$196))</f>
        <v>Ｃ１／Ａ７／Ｂ８／Ｃ１</v>
      </c>
      <c r="AJ206" s="759"/>
      <c r="AK206" s="759"/>
      <c r="AL206" s="759"/>
      <c r="AM206" s="759"/>
      <c r="AN206" s="759"/>
      <c r="AO206" s="759"/>
      <c r="AP206" s="760"/>
      <c r="AR206" s="119">
        <f ca="1">INDIRECT("U12対戦スケジュール!o"&amp;(ROW())/2-AR$196)</f>
        <v>8</v>
      </c>
      <c r="AS206" s="119">
        <f ca="1">INDIRECT("U12対戦スケジュール!q"&amp;(ROW())/2-AR$196)</f>
        <v>6</v>
      </c>
    </row>
    <row r="207" spans="1:45" ht="19.5" customHeight="1" x14ac:dyDescent="0.4">
      <c r="B207" s="644"/>
      <c r="C207" s="648"/>
      <c r="D207" s="649"/>
      <c r="E207" s="650"/>
      <c r="F207" s="583"/>
      <c r="G207" s="583"/>
      <c r="H207" s="583"/>
      <c r="I207" s="583"/>
      <c r="J207" s="747"/>
      <c r="K207" s="747"/>
      <c r="L207" s="747"/>
      <c r="M207" s="747"/>
      <c r="N207" s="747"/>
      <c r="O207" s="747"/>
      <c r="P207" s="747"/>
      <c r="Q207" s="634"/>
      <c r="R207" s="634"/>
      <c r="S207" s="100">
        <v>3</v>
      </c>
      <c r="T207" s="101" t="s">
        <v>7</v>
      </c>
      <c r="U207" s="100">
        <v>0</v>
      </c>
      <c r="V207" s="634"/>
      <c r="W207" s="634"/>
      <c r="X207" s="747"/>
      <c r="Y207" s="747"/>
      <c r="Z207" s="747"/>
      <c r="AA207" s="747"/>
      <c r="AB207" s="747"/>
      <c r="AC207" s="747"/>
      <c r="AD207" s="747"/>
      <c r="AE207" s="583"/>
      <c r="AF207" s="583"/>
      <c r="AG207" s="583"/>
      <c r="AH207" s="583"/>
      <c r="AI207" s="761"/>
      <c r="AJ207" s="762"/>
      <c r="AK207" s="762"/>
      <c r="AL207" s="762"/>
      <c r="AM207" s="762"/>
      <c r="AN207" s="762"/>
      <c r="AO207" s="762"/>
      <c r="AP207" s="763"/>
      <c r="AR207" s="119"/>
      <c r="AS207" s="119"/>
    </row>
    <row r="208" spans="1:45" ht="19.5" customHeight="1" x14ac:dyDescent="0.4">
      <c r="B208" s="644" t="str">
        <f ca="1">DBCS(INDIRECT("U12対戦スケジュール!ｇ"&amp;(ROW())/2-AR$196))</f>
        <v>③</v>
      </c>
      <c r="C208" s="645">
        <f ca="1">INDIRECT("U12対戦スケジュール!ｈ"&amp;(ROW())/2-AR$196)</f>
        <v>0.45899999999999996</v>
      </c>
      <c r="D208" s="646"/>
      <c r="E208" s="647"/>
      <c r="F208" s="583"/>
      <c r="G208" s="583"/>
      <c r="H208" s="583"/>
      <c r="I208" s="583"/>
      <c r="J208" s="746" t="str">
        <f ca="1">VLOOKUP(AR208,U12組合せ!B$10:K$19,7,TRUE)</f>
        <v>FCみらいP</v>
      </c>
      <c r="K208" s="747"/>
      <c r="L208" s="747"/>
      <c r="M208" s="747"/>
      <c r="N208" s="747"/>
      <c r="O208" s="747"/>
      <c r="P208" s="747"/>
      <c r="Q208" s="634">
        <f>IF(OR(S208="",S209=""),"",S208+S209)</f>
        <v>0</v>
      </c>
      <c r="R208" s="634"/>
      <c r="S208" s="100">
        <v>0</v>
      </c>
      <c r="T208" s="101" t="s">
        <v>7</v>
      </c>
      <c r="U208" s="100">
        <v>0</v>
      </c>
      <c r="V208" s="634">
        <f>IF(OR(U208="",U209=""),"",U208+U209)</f>
        <v>2</v>
      </c>
      <c r="W208" s="634"/>
      <c r="X208" s="746" t="str">
        <f ca="1">VLOOKUP(AS208,U12組合せ!B$10:K$19,7,TRUE)</f>
        <v>FCアリーバ</v>
      </c>
      <c r="Y208" s="747"/>
      <c r="Z208" s="747"/>
      <c r="AA208" s="747"/>
      <c r="AB208" s="747"/>
      <c r="AC208" s="747"/>
      <c r="AD208" s="747"/>
      <c r="AE208" s="583"/>
      <c r="AF208" s="583"/>
      <c r="AG208" s="583"/>
      <c r="AH208" s="583"/>
      <c r="AI208" s="758" t="str">
        <f ca="1">DBCS(INDIRECT("U12対戦スケジュール!r"&amp;(ROW())/2-AR$196))</f>
        <v>Ｃ６／Ａ８／Ｂ３／Ｃ６</v>
      </c>
      <c r="AJ208" s="759"/>
      <c r="AK208" s="759"/>
      <c r="AL208" s="759"/>
      <c r="AM208" s="759"/>
      <c r="AN208" s="759"/>
      <c r="AO208" s="759"/>
      <c r="AP208" s="760"/>
      <c r="AR208" s="119">
        <f ca="1">INDIRECT("U12対戦スケジュール!o"&amp;(ROW())/2-AR$196)</f>
        <v>8</v>
      </c>
      <c r="AS208" s="119">
        <f ca="1">INDIRECT("U12対戦スケジュール!q"&amp;(ROW())/2-AR$196)</f>
        <v>1</v>
      </c>
    </row>
    <row r="209" spans="1:45" ht="19.5" customHeight="1" x14ac:dyDescent="0.4">
      <c r="B209" s="644"/>
      <c r="C209" s="648"/>
      <c r="D209" s="649"/>
      <c r="E209" s="650"/>
      <c r="F209" s="583"/>
      <c r="G209" s="583"/>
      <c r="H209" s="583"/>
      <c r="I209" s="583"/>
      <c r="J209" s="747"/>
      <c r="K209" s="747"/>
      <c r="L209" s="747"/>
      <c r="M209" s="747"/>
      <c r="N209" s="747"/>
      <c r="O209" s="747"/>
      <c r="P209" s="747"/>
      <c r="Q209" s="634"/>
      <c r="R209" s="634"/>
      <c r="S209" s="100">
        <v>0</v>
      </c>
      <c r="T209" s="101" t="s">
        <v>7</v>
      </c>
      <c r="U209" s="100">
        <v>2</v>
      </c>
      <c r="V209" s="634"/>
      <c r="W209" s="634"/>
      <c r="X209" s="747"/>
      <c r="Y209" s="747"/>
      <c r="Z209" s="747"/>
      <c r="AA209" s="747"/>
      <c r="AB209" s="747"/>
      <c r="AC209" s="747"/>
      <c r="AD209" s="747"/>
      <c r="AE209" s="583"/>
      <c r="AF209" s="583"/>
      <c r="AG209" s="583"/>
      <c r="AH209" s="583"/>
      <c r="AI209" s="761"/>
      <c r="AJ209" s="762"/>
      <c r="AK209" s="762"/>
      <c r="AL209" s="762"/>
      <c r="AM209" s="762"/>
      <c r="AN209" s="762"/>
      <c r="AO209" s="762"/>
      <c r="AP209" s="763"/>
      <c r="AR209" s="119"/>
      <c r="AS209" s="119"/>
    </row>
    <row r="210" spans="1:45" ht="19.5" customHeight="1" x14ac:dyDescent="0.4">
      <c r="B210" s="586"/>
      <c r="C210" s="739"/>
      <c r="D210" s="740"/>
      <c r="E210" s="741"/>
      <c r="F210" s="704"/>
      <c r="G210" s="704"/>
      <c r="H210" s="704"/>
      <c r="I210" s="704"/>
      <c r="J210" s="701"/>
      <c r="K210" s="702"/>
      <c r="L210" s="702"/>
      <c r="M210" s="702"/>
      <c r="N210" s="702"/>
      <c r="O210" s="702"/>
      <c r="P210" s="702"/>
      <c r="Q210" s="705"/>
      <c r="R210" s="705"/>
      <c r="S210" s="109"/>
      <c r="T210" s="110"/>
      <c r="U210" s="109"/>
      <c r="V210" s="705"/>
      <c r="W210" s="705"/>
      <c r="X210" s="701"/>
      <c r="Y210" s="702"/>
      <c r="Z210" s="702"/>
      <c r="AA210" s="702"/>
      <c r="AB210" s="702"/>
      <c r="AC210" s="702"/>
      <c r="AD210" s="702"/>
      <c r="AE210" s="704"/>
      <c r="AF210" s="704"/>
      <c r="AG210" s="704"/>
      <c r="AH210" s="704"/>
      <c r="AI210" s="706"/>
      <c r="AJ210" s="707"/>
      <c r="AK210" s="707"/>
      <c r="AL210" s="707"/>
      <c r="AM210" s="707"/>
      <c r="AN210" s="707"/>
      <c r="AO210" s="707"/>
      <c r="AP210" s="707"/>
      <c r="AR210" s="119"/>
      <c r="AS210" s="119"/>
    </row>
    <row r="211" spans="1:45" ht="19.5" customHeight="1" x14ac:dyDescent="0.4">
      <c r="B211" s="644"/>
      <c r="C211" s="648"/>
      <c r="D211" s="649"/>
      <c r="E211" s="650"/>
      <c r="F211" s="583"/>
      <c r="G211" s="583"/>
      <c r="H211" s="583"/>
      <c r="I211" s="583"/>
      <c r="J211" s="703"/>
      <c r="K211" s="703"/>
      <c r="L211" s="703"/>
      <c r="M211" s="703"/>
      <c r="N211" s="703"/>
      <c r="O211" s="703"/>
      <c r="P211" s="703"/>
      <c r="Q211" s="634"/>
      <c r="R211" s="634"/>
      <c r="S211" s="100"/>
      <c r="T211" s="101"/>
      <c r="U211" s="100"/>
      <c r="V211" s="634"/>
      <c r="W211" s="634"/>
      <c r="X211" s="703"/>
      <c r="Y211" s="703"/>
      <c r="Z211" s="703"/>
      <c r="AA211" s="703"/>
      <c r="AB211" s="703"/>
      <c r="AC211" s="703"/>
      <c r="AD211" s="703"/>
      <c r="AE211" s="583"/>
      <c r="AF211" s="583"/>
      <c r="AG211" s="583"/>
      <c r="AH211" s="583"/>
      <c r="AI211" s="708"/>
      <c r="AJ211" s="708"/>
      <c r="AK211" s="708"/>
      <c r="AL211" s="708"/>
      <c r="AM211" s="708"/>
      <c r="AN211" s="708"/>
      <c r="AO211" s="708"/>
      <c r="AP211" s="708"/>
      <c r="AR211" s="119"/>
      <c r="AS211" s="119"/>
    </row>
    <row r="212" spans="1:45" ht="19.5" customHeight="1" x14ac:dyDescent="0.4">
      <c r="B212" s="585"/>
      <c r="C212" s="587"/>
      <c r="D212" s="588"/>
      <c r="E212" s="589"/>
      <c r="F212" s="622"/>
      <c r="G212" s="623"/>
      <c r="H212" s="623"/>
      <c r="I212" s="624"/>
      <c r="J212" s="689"/>
      <c r="K212" s="690"/>
      <c r="L212" s="690"/>
      <c r="M212" s="690"/>
      <c r="N212" s="690"/>
      <c r="O212" s="690"/>
      <c r="P212" s="691"/>
      <c r="Q212" s="628"/>
      <c r="R212" s="630"/>
      <c r="S212" s="100"/>
      <c r="T212" s="101"/>
      <c r="U212" s="100"/>
      <c r="V212" s="628"/>
      <c r="W212" s="630"/>
      <c r="X212" s="695"/>
      <c r="Y212" s="696"/>
      <c r="Z212" s="696"/>
      <c r="AA212" s="696"/>
      <c r="AB212" s="696"/>
      <c r="AC212" s="696"/>
      <c r="AD212" s="697"/>
      <c r="AE212" s="622"/>
      <c r="AF212" s="623"/>
      <c r="AG212" s="623"/>
      <c r="AH212" s="624"/>
      <c r="AI212" s="628"/>
      <c r="AJ212" s="629"/>
      <c r="AK212" s="629"/>
      <c r="AL212" s="629"/>
      <c r="AM212" s="629"/>
      <c r="AN212" s="629"/>
      <c r="AO212" s="629"/>
      <c r="AP212" s="630"/>
    </row>
    <row r="213" spans="1:45" ht="19.5" customHeight="1" x14ac:dyDescent="0.4">
      <c r="B213" s="586"/>
      <c r="C213" s="590"/>
      <c r="D213" s="591"/>
      <c r="E213" s="592"/>
      <c r="F213" s="625"/>
      <c r="G213" s="626"/>
      <c r="H213" s="626"/>
      <c r="I213" s="627"/>
      <c r="J213" s="692"/>
      <c r="K213" s="693"/>
      <c r="L213" s="693"/>
      <c r="M213" s="693"/>
      <c r="N213" s="693"/>
      <c r="O213" s="693"/>
      <c r="P213" s="694"/>
      <c r="Q213" s="631"/>
      <c r="R213" s="633"/>
      <c r="S213" s="100"/>
      <c r="T213" s="101"/>
      <c r="U213" s="100"/>
      <c r="V213" s="631"/>
      <c r="W213" s="633"/>
      <c r="X213" s="698"/>
      <c r="Y213" s="699"/>
      <c r="Z213" s="699"/>
      <c r="AA213" s="699"/>
      <c r="AB213" s="699"/>
      <c r="AC213" s="699"/>
      <c r="AD213" s="700"/>
      <c r="AE213" s="625"/>
      <c r="AF213" s="626"/>
      <c r="AG213" s="626"/>
      <c r="AH213" s="627"/>
      <c r="AI213" s="631"/>
      <c r="AJ213" s="632"/>
      <c r="AK213" s="632"/>
      <c r="AL213" s="632"/>
      <c r="AM213" s="632"/>
      <c r="AN213" s="632"/>
      <c r="AO213" s="632"/>
      <c r="AP213" s="633"/>
    </row>
    <row r="214" spans="1:45" ht="19.5" customHeight="1" x14ac:dyDescent="0.4">
      <c r="B214" s="585"/>
      <c r="C214" s="587"/>
      <c r="D214" s="588"/>
      <c r="E214" s="589"/>
      <c r="F214" s="622"/>
      <c r="G214" s="623"/>
      <c r="H214" s="623"/>
      <c r="I214" s="624"/>
      <c r="J214" s="689"/>
      <c r="K214" s="690"/>
      <c r="L214" s="690"/>
      <c r="M214" s="690"/>
      <c r="N214" s="690"/>
      <c r="O214" s="690"/>
      <c r="P214" s="691"/>
      <c r="Q214" s="628"/>
      <c r="R214" s="630"/>
      <c r="S214" s="100"/>
      <c r="T214" s="101"/>
      <c r="U214" s="100"/>
      <c r="V214" s="628"/>
      <c r="W214" s="630"/>
      <c r="X214" s="695"/>
      <c r="Y214" s="696"/>
      <c r="Z214" s="696"/>
      <c r="AA214" s="696"/>
      <c r="AB214" s="696"/>
      <c r="AC214" s="696"/>
      <c r="AD214" s="697"/>
      <c r="AE214" s="622"/>
      <c r="AF214" s="623"/>
      <c r="AG214" s="623"/>
      <c r="AH214" s="624"/>
      <c r="AI214" s="628"/>
      <c r="AJ214" s="629"/>
      <c r="AK214" s="629"/>
      <c r="AL214" s="629"/>
      <c r="AM214" s="629"/>
      <c r="AN214" s="629"/>
      <c r="AO214" s="629"/>
      <c r="AP214" s="630"/>
    </row>
    <row r="215" spans="1:45" ht="19.5" customHeight="1" x14ac:dyDescent="0.4">
      <c r="B215" s="586"/>
      <c r="C215" s="590"/>
      <c r="D215" s="591"/>
      <c r="E215" s="592"/>
      <c r="F215" s="625"/>
      <c r="G215" s="626"/>
      <c r="H215" s="626"/>
      <c r="I215" s="627"/>
      <c r="J215" s="692"/>
      <c r="K215" s="693"/>
      <c r="L215" s="693"/>
      <c r="M215" s="693"/>
      <c r="N215" s="693"/>
      <c r="O215" s="693"/>
      <c r="P215" s="694"/>
      <c r="Q215" s="631"/>
      <c r="R215" s="633"/>
      <c r="S215" s="100"/>
      <c r="T215" s="101"/>
      <c r="U215" s="100"/>
      <c r="V215" s="631"/>
      <c r="W215" s="633"/>
      <c r="X215" s="698"/>
      <c r="Y215" s="699"/>
      <c r="Z215" s="699"/>
      <c r="AA215" s="699"/>
      <c r="AB215" s="699"/>
      <c r="AC215" s="699"/>
      <c r="AD215" s="700"/>
      <c r="AE215" s="625"/>
      <c r="AF215" s="626"/>
      <c r="AG215" s="626"/>
      <c r="AH215" s="627"/>
      <c r="AI215" s="631"/>
      <c r="AJ215" s="632"/>
      <c r="AK215" s="632"/>
      <c r="AL215" s="632"/>
      <c r="AM215" s="632"/>
      <c r="AN215" s="632"/>
      <c r="AO215" s="632"/>
      <c r="AP215" s="633"/>
    </row>
    <row r="216" spans="1:45" ht="16.5" x14ac:dyDescent="0.4">
      <c r="B216" s="585"/>
      <c r="C216" s="587"/>
      <c r="D216" s="588"/>
      <c r="E216" s="589"/>
      <c r="F216" s="622"/>
      <c r="G216" s="623"/>
      <c r="H216" s="623"/>
      <c r="I216" s="624"/>
      <c r="J216" s="689"/>
      <c r="K216" s="690"/>
      <c r="L216" s="690"/>
      <c r="M216" s="690"/>
      <c r="N216" s="690"/>
      <c r="O216" s="690"/>
      <c r="P216" s="691"/>
      <c r="Q216" s="628"/>
      <c r="R216" s="630"/>
      <c r="S216" s="100"/>
      <c r="T216" s="101"/>
      <c r="U216" s="100"/>
      <c r="V216" s="628"/>
      <c r="W216" s="630"/>
      <c r="X216" s="695"/>
      <c r="Y216" s="696"/>
      <c r="Z216" s="696"/>
      <c r="AA216" s="696"/>
      <c r="AB216" s="696"/>
      <c r="AC216" s="696"/>
      <c r="AD216" s="697"/>
      <c r="AE216" s="622"/>
      <c r="AF216" s="623"/>
      <c r="AG216" s="623"/>
      <c r="AH216" s="624"/>
      <c r="AI216" s="628"/>
      <c r="AJ216" s="629"/>
      <c r="AK216" s="629"/>
      <c r="AL216" s="629"/>
      <c r="AM216" s="629"/>
      <c r="AN216" s="629"/>
      <c r="AO216" s="629"/>
      <c r="AP216" s="630"/>
    </row>
    <row r="217" spans="1:45" ht="16.5" x14ac:dyDescent="0.4">
      <c r="B217" s="586"/>
      <c r="C217" s="590"/>
      <c r="D217" s="591"/>
      <c r="E217" s="592"/>
      <c r="F217" s="625"/>
      <c r="G217" s="626"/>
      <c r="H217" s="626"/>
      <c r="I217" s="627"/>
      <c r="J217" s="692"/>
      <c r="K217" s="693"/>
      <c r="L217" s="693"/>
      <c r="M217" s="693"/>
      <c r="N217" s="693"/>
      <c r="O217" s="693"/>
      <c r="P217" s="694"/>
      <c r="Q217" s="631"/>
      <c r="R217" s="633"/>
      <c r="S217" s="100"/>
      <c r="T217" s="101"/>
      <c r="U217" s="100"/>
      <c r="V217" s="631"/>
      <c r="W217" s="633"/>
      <c r="X217" s="698"/>
      <c r="Y217" s="699"/>
      <c r="Z217" s="699"/>
      <c r="AA217" s="699"/>
      <c r="AB217" s="699"/>
      <c r="AC217" s="699"/>
      <c r="AD217" s="700"/>
      <c r="AE217" s="625"/>
      <c r="AF217" s="626"/>
      <c r="AG217" s="626"/>
      <c r="AH217" s="627"/>
      <c r="AI217" s="631"/>
      <c r="AJ217" s="632"/>
      <c r="AK217" s="632"/>
      <c r="AL217" s="632"/>
      <c r="AM217" s="632"/>
      <c r="AN217" s="632"/>
      <c r="AO217" s="632"/>
      <c r="AP217" s="633"/>
    </row>
    <row r="218" spans="1:45" ht="20.25" thickBot="1" x14ac:dyDescent="0.45">
      <c r="A218" s="102"/>
      <c r="B218" s="103"/>
      <c r="C218" s="104"/>
      <c r="D218" s="104"/>
      <c r="E218" s="104"/>
      <c r="F218" s="103"/>
      <c r="G218" s="103"/>
      <c r="H218" s="103"/>
      <c r="I218" s="103"/>
      <c r="J218" s="103"/>
      <c r="K218" s="105"/>
      <c r="L218" s="105"/>
      <c r="M218" s="106"/>
      <c r="N218" s="107"/>
      <c r="O218" s="106"/>
      <c r="P218" s="105"/>
      <c r="Q218" s="105"/>
      <c r="R218" s="103"/>
      <c r="S218" s="103"/>
      <c r="T218" s="103"/>
      <c r="U218" s="103"/>
      <c r="V218" s="103"/>
      <c r="W218" s="108"/>
      <c r="X218" s="108"/>
      <c r="Y218" s="108"/>
      <c r="Z218" s="108"/>
      <c r="AA218" s="108"/>
      <c r="AB218" s="108"/>
      <c r="AC218" s="102"/>
    </row>
    <row r="219" spans="1:45" ht="20.25" thickBot="1" x14ac:dyDescent="0.45">
      <c r="D219" s="664" t="s">
        <v>8</v>
      </c>
      <c r="E219" s="665"/>
      <c r="F219" s="665"/>
      <c r="G219" s="665"/>
      <c r="H219" s="665"/>
      <c r="I219" s="666"/>
      <c r="J219" s="667" t="s">
        <v>5</v>
      </c>
      <c r="K219" s="665"/>
      <c r="L219" s="665"/>
      <c r="M219" s="665"/>
      <c r="N219" s="665"/>
      <c r="O219" s="665"/>
      <c r="P219" s="665"/>
      <c r="Q219" s="666"/>
      <c r="R219" s="668" t="s">
        <v>9</v>
      </c>
      <c r="S219" s="669"/>
      <c r="T219" s="669"/>
      <c r="U219" s="669"/>
      <c r="V219" s="669"/>
      <c r="W219" s="669"/>
      <c r="X219" s="669"/>
      <c r="Y219" s="669"/>
      <c r="Z219" s="670"/>
      <c r="AA219" s="609" t="s">
        <v>10</v>
      </c>
      <c r="AB219" s="610"/>
      <c r="AC219" s="671"/>
      <c r="AD219" s="609" t="s">
        <v>11</v>
      </c>
      <c r="AE219" s="610"/>
      <c r="AF219" s="610"/>
      <c r="AG219" s="610"/>
      <c r="AH219" s="610"/>
      <c r="AI219" s="610"/>
      <c r="AJ219" s="610"/>
      <c r="AK219" s="610"/>
      <c r="AL219" s="610"/>
      <c r="AM219" s="611"/>
    </row>
    <row r="220" spans="1:45" ht="26.25" customHeight="1" x14ac:dyDescent="0.4">
      <c r="D220" s="651" t="s">
        <v>298</v>
      </c>
      <c r="E220" s="652"/>
      <c r="F220" s="652"/>
      <c r="G220" s="652"/>
      <c r="H220" s="652"/>
      <c r="I220" s="653"/>
      <c r="J220" s="654"/>
      <c r="K220" s="652"/>
      <c r="L220" s="652"/>
      <c r="M220" s="652"/>
      <c r="N220" s="652"/>
      <c r="O220" s="652"/>
      <c r="P220" s="652"/>
      <c r="Q220" s="653"/>
      <c r="R220" s="655"/>
      <c r="S220" s="656"/>
      <c r="T220" s="656"/>
      <c r="U220" s="656"/>
      <c r="V220" s="656"/>
      <c r="W220" s="656"/>
      <c r="X220" s="656"/>
      <c r="Y220" s="656"/>
      <c r="Z220" s="657"/>
      <c r="AA220" s="658"/>
      <c r="AB220" s="659"/>
      <c r="AC220" s="660"/>
      <c r="AD220" s="661"/>
      <c r="AE220" s="662"/>
      <c r="AF220" s="662"/>
      <c r="AG220" s="662"/>
      <c r="AH220" s="662"/>
      <c r="AI220" s="662"/>
      <c r="AJ220" s="662"/>
      <c r="AK220" s="662"/>
      <c r="AL220" s="662"/>
      <c r="AM220" s="663"/>
    </row>
    <row r="221" spans="1:45" ht="26.25" customHeight="1" x14ac:dyDescent="0.4">
      <c r="D221" s="688" t="s">
        <v>12</v>
      </c>
      <c r="E221" s="604"/>
      <c r="F221" s="604"/>
      <c r="G221" s="604"/>
      <c r="H221" s="604"/>
      <c r="I221" s="605"/>
      <c r="J221" s="603"/>
      <c r="K221" s="604"/>
      <c r="L221" s="604"/>
      <c r="M221" s="604"/>
      <c r="N221" s="604"/>
      <c r="O221" s="604"/>
      <c r="P221" s="604"/>
      <c r="Q221" s="605"/>
      <c r="R221" s="606"/>
      <c r="S221" s="607"/>
      <c r="T221" s="607"/>
      <c r="U221" s="607"/>
      <c r="V221" s="607"/>
      <c r="W221" s="607"/>
      <c r="X221" s="607"/>
      <c r="Y221" s="607"/>
      <c r="Z221" s="608"/>
      <c r="AA221" s="606"/>
      <c r="AB221" s="607"/>
      <c r="AC221" s="608"/>
      <c r="AD221" s="672"/>
      <c r="AE221" s="673"/>
      <c r="AF221" s="673"/>
      <c r="AG221" s="673"/>
      <c r="AH221" s="673"/>
      <c r="AI221" s="673"/>
      <c r="AJ221" s="673"/>
      <c r="AK221" s="673"/>
      <c r="AL221" s="673"/>
      <c r="AM221" s="674"/>
    </row>
    <row r="222" spans="1:45" ht="26.25" customHeight="1" thickBot="1" x14ac:dyDescent="0.45">
      <c r="D222" s="675" t="s">
        <v>12</v>
      </c>
      <c r="E222" s="676"/>
      <c r="F222" s="676"/>
      <c r="G222" s="676"/>
      <c r="H222" s="676"/>
      <c r="I222" s="677"/>
      <c r="J222" s="678"/>
      <c r="K222" s="676"/>
      <c r="L222" s="676"/>
      <c r="M222" s="676"/>
      <c r="N222" s="676"/>
      <c r="O222" s="676"/>
      <c r="P222" s="676"/>
      <c r="Q222" s="677"/>
      <c r="R222" s="679"/>
      <c r="S222" s="680"/>
      <c r="T222" s="680"/>
      <c r="U222" s="680"/>
      <c r="V222" s="680"/>
      <c r="W222" s="680"/>
      <c r="X222" s="680"/>
      <c r="Y222" s="680"/>
      <c r="Z222" s="681"/>
      <c r="AA222" s="682"/>
      <c r="AB222" s="683"/>
      <c r="AC222" s="684"/>
      <c r="AD222" s="685"/>
      <c r="AE222" s="686"/>
      <c r="AF222" s="686"/>
      <c r="AG222" s="686"/>
      <c r="AH222" s="686"/>
      <c r="AI222" s="686"/>
      <c r="AJ222" s="686"/>
      <c r="AK222" s="686"/>
      <c r="AL222" s="686"/>
      <c r="AM222" s="687"/>
    </row>
    <row r="223" spans="1:45" ht="15" customHeight="1" x14ac:dyDescent="0.4"/>
    <row r="224" spans="1:45" ht="27.75" customHeight="1" x14ac:dyDescent="0.4">
      <c r="A224" s="115"/>
      <c r="B224" s="599" t="str">
        <f>U12組合せ!$B$1</f>
        <v>ＪＦＡ　Ｕ-１２サッカーリーグ2021（in栃木） 宇都宮地区リーグ戦（前期）</v>
      </c>
      <c r="C224" s="599"/>
      <c r="D224" s="599"/>
      <c r="E224" s="599"/>
      <c r="F224" s="599"/>
      <c r="G224" s="599"/>
      <c r="H224" s="599"/>
      <c r="I224" s="599"/>
      <c r="J224" s="599"/>
      <c r="K224" s="599"/>
      <c r="L224" s="599"/>
      <c r="M224" s="599"/>
      <c r="N224" s="599"/>
      <c r="O224" s="599"/>
      <c r="P224" s="599"/>
      <c r="Q224" s="599"/>
      <c r="R224" s="599"/>
      <c r="S224" s="599"/>
      <c r="T224" s="599"/>
      <c r="U224" s="599"/>
      <c r="V224" s="599"/>
      <c r="W224" s="599"/>
      <c r="X224" s="599"/>
      <c r="Y224" s="599"/>
      <c r="Z224" s="599"/>
      <c r="AA224" s="599"/>
      <c r="AB224" s="599"/>
      <c r="AC224" s="612" t="str">
        <f>"【"&amp;(U12組合せ!$H$3)&amp;"】"</f>
        <v>【Ｃ ブロック】</v>
      </c>
      <c r="AD224" s="612"/>
      <c r="AE224" s="612"/>
      <c r="AF224" s="612"/>
      <c r="AG224" s="612"/>
      <c r="AH224" s="612"/>
      <c r="AI224" s="612"/>
      <c r="AJ224" s="612"/>
      <c r="AK224" s="602" t="str">
        <f>"第"&amp;(U12組合せ!$D$33)</f>
        <v>第３節</v>
      </c>
      <c r="AL224" s="602"/>
      <c r="AM224" s="602"/>
      <c r="AN224" s="602"/>
      <c r="AO224" s="602"/>
      <c r="AP224" s="597" t="s">
        <v>332</v>
      </c>
      <c r="AQ224" s="598"/>
    </row>
    <row r="225" spans="1:45" ht="15" customHeight="1" x14ac:dyDescent="0.4">
      <c r="A225" s="115"/>
      <c r="B225" s="599"/>
      <c r="C225" s="599"/>
      <c r="D225" s="599"/>
      <c r="E225" s="599"/>
      <c r="F225" s="599"/>
      <c r="G225" s="599"/>
      <c r="H225" s="599"/>
      <c r="I225" s="599"/>
      <c r="J225" s="599"/>
      <c r="K225" s="599"/>
      <c r="L225" s="599"/>
      <c r="M225" s="599"/>
      <c r="N225" s="599"/>
      <c r="O225" s="599"/>
      <c r="P225" s="599"/>
      <c r="Q225" s="599"/>
      <c r="R225" s="599"/>
      <c r="S225" s="599"/>
      <c r="T225" s="599"/>
      <c r="U225" s="599"/>
      <c r="V225" s="599"/>
      <c r="W225" s="599"/>
      <c r="X225" s="599"/>
      <c r="Y225" s="599"/>
      <c r="Z225" s="599"/>
      <c r="AA225" s="599"/>
      <c r="AB225" s="599"/>
      <c r="AC225" s="601"/>
      <c r="AD225" s="601"/>
      <c r="AE225" s="601"/>
      <c r="AF225" s="601"/>
      <c r="AG225" s="601"/>
      <c r="AH225" s="601"/>
      <c r="AI225" s="601"/>
      <c r="AJ225" s="601"/>
      <c r="AK225" s="601"/>
      <c r="AL225" s="601"/>
      <c r="AM225" s="601"/>
      <c r="AN225" s="601"/>
      <c r="AO225" s="612"/>
      <c r="AP225" s="598"/>
      <c r="AQ225" s="598"/>
    </row>
    <row r="226" spans="1:45" ht="29.25" customHeight="1" x14ac:dyDescent="0.4">
      <c r="C226" s="635" t="s">
        <v>1</v>
      </c>
      <c r="D226" s="635"/>
      <c r="E226" s="635"/>
      <c r="F226" s="635"/>
      <c r="G226" s="725" t="str">
        <f>U12対戦スケジュール!O64</f>
        <v>GP白沢北 AM</v>
      </c>
      <c r="H226" s="726"/>
      <c r="I226" s="726"/>
      <c r="J226" s="726"/>
      <c r="K226" s="726"/>
      <c r="L226" s="726"/>
      <c r="M226" s="726"/>
      <c r="N226" s="726"/>
      <c r="O226" s="727"/>
      <c r="P226" s="635" t="s">
        <v>0</v>
      </c>
      <c r="Q226" s="635"/>
      <c r="R226" s="635"/>
      <c r="S226" s="635"/>
      <c r="T226" s="725" t="str">
        <f>E231</f>
        <v>ともぞうSC　U11</v>
      </c>
      <c r="U226" s="726"/>
      <c r="V226" s="726"/>
      <c r="W226" s="726"/>
      <c r="X226" s="726"/>
      <c r="Y226" s="726"/>
      <c r="Z226" s="726"/>
      <c r="AA226" s="726"/>
      <c r="AB226" s="727"/>
      <c r="AC226" s="635" t="s">
        <v>2</v>
      </c>
      <c r="AD226" s="635"/>
      <c r="AE226" s="635"/>
      <c r="AF226" s="635"/>
      <c r="AG226" s="618">
        <f>U12組合せ!B$33</f>
        <v>44325</v>
      </c>
      <c r="AH226" s="619"/>
      <c r="AI226" s="619"/>
      <c r="AJ226" s="619"/>
      <c r="AK226" s="619"/>
      <c r="AL226" s="619"/>
      <c r="AM226" s="620" t="str">
        <f>"（"&amp;TEXT(AG226,"aaa")&amp;"）"</f>
        <v>（日）</v>
      </c>
      <c r="AN226" s="620"/>
      <c r="AO226" s="621"/>
      <c r="AP226" s="116"/>
      <c r="AR226" s="96">
        <f>236/2</f>
        <v>118</v>
      </c>
    </row>
    <row r="227" spans="1:45" ht="17.25" customHeight="1" x14ac:dyDescent="0.4">
      <c r="C227" s="96" t="str">
        <f>U12組合せ!I36</f>
        <v>C249</v>
      </c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95"/>
      <c r="X227" s="95"/>
      <c r="Y227" s="95"/>
      <c r="Z227" s="95"/>
      <c r="AA227" s="95"/>
      <c r="AB227" s="95"/>
      <c r="AC227" s="95"/>
      <c r="AR227" s="96">
        <v>66</v>
      </c>
    </row>
    <row r="228" spans="1:45" ht="30.75" customHeight="1" x14ac:dyDescent="0.4">
      <c r="C228" s="637" t="s">
        <v>510</v>
      </c>
      <c r="D228" s="637"/>
      <c r="E228" s="584" t="s">
        <v>524</v>
      </c>
      <c r="F228" s="584"/>
      <c r="G228" s="584"/>
      <c r="H228" s="584"/>
      <c r="I228" s="584"/>
      <c r="J228" s="584"/>
      <c r="K228" s="584"/>
      <c r="L228" s="584"/>
      <c r="M228" s="584"/>
      <c r="N228" s="584"/>
      <c r="O228" s="94"/>
      <c r="P228" s="94"/>
      <c r="Q228" s="637" t="s">
        <v>470</v>
      </c>
      <c r="R228" s="637"/>
      <c r="S228" s="584" t="s">
        <v>525</v>
      </c>
      <c r="T228" s="584"/>
      <c r="U228" s="584"/>
      <c r="V228" s="584"/>
      <c r="W228" s="584"/>
      <c r="X228" s="584"/>
      <c r="Y228" s="584"/>
      <c r="Z228" s="584"/>
      <c r="AA228" s="584"/>
      <c r="AB228" s="584"/>
      <c r="AC228" s="92"/>
      <c r="AD228" s="93"/>
      <c r="AE228" s="636" t="s">
        <v>535</v>
      </c>
      <c r="AF228" s="636"/>
      <c r="AG228" s="709" t="s">
        <v>530</v>
      </c>
      <c r="AH228" s="709"/>
      <c r="AI228" s="709"/>
      <c r="AJ228" s="709"/>
      <c r="AK228" s="709"/>
      <c r="AL228" s="709"/>
      <c r="AM228" s="709"/>
      <c r="AN228" s="709"/>
      <c r="AO228" s="709"/>
      <c r="AP228" s="709"/>
      <c r="AR228" s="96">
        <f>AR226-AR227</f>
        <v>52</v>
      </c>
    </row>
    <row r="229" spans="1:45" ht="30.75" customHeight="1" x14ac:dyDescent="0.4">
      <c r="C229" s="636" t="s">
        <v>464</v>
      </c>
      <c r="D229" s="636"/>
      <c r="E229" s="709" t="s">
        <v>526</v>
      </c>
      <c r="F229" s="709"/>
      <c r="G229" s="709"/>
      <c r="H229" s="709"/>
      <c r="I229" s="709"/>
      <c r="J229" s="709"/>
      <c r="K229" s="709"/>
      <c r="L229" s="709"/>
      <c r="M229" s="709"/>
      <c r="N229" s="709"/>
      <c r="O229" s="94"/>
      <c r="P229" s="94"/>
      <c r="Q229" s="637" t="s">
        <v>471</v>
      </c>
      <c r="R229" s="637"/>
      <c r="S229" s="584" t="s">
        <v>504</v>
      </c>
      <c r="T229" s="584"/>
      <c r="U229" s="584"/>
      <c r="V229" s="584"/>
      <c r="W229" s="584"/>
      <c r="X229" s="584"/>
      <c r="Y229" s="584"/>
      <c r="Z229" s="584"/>
      <c r="AA229" s="584"/>
      <c r="AB229" s="584"/>
      <c r="AC229" s="92"/>
      <c r="AD229" s="93"/>
      <c r="AE229" s="710" t="s">
        <v>518</v>
      </c>
      <c r="AF229" s="710"/>
      <c r="AG229" s="638" t="str">
        <f>U12組合せ!J10</f>
        <v>FCブロケード</v>
      </c>
      <c r="AH229" s="638"/>
      <c r="AI229" s="638"/>
      <c r="AJ229" s="638"/>
      <c r="AK229" s="638"/>
      <c r="AL229" s="638"/>
      <c r="AM229" s="638"/>
      <c r="AN229" s="638"/>
      <c r="AO229" s="638"/>
      <c r="AP229" s="638"/>
    </row>
    <row r="230" spans="1:45" ht="30.75" customHeight="1" x14ac:dyDescent="0.4">
      <c r="C230" s="637" t="s">
        <v>532</v>
      </c>
      <c r="D230" s="637"/>
      <c r="E230" s="584" t="s">
        <v>527</v>
      </c>
      <c r="F230" s="584"/>
      <c r="G230" s="584"/>
      <c r="H230" s="584"/>
      <c r="I230" s="584"/>
      <c r="J230" s="584"/>
      <c r="K230" s="584"/>
      <c r="L230" s="584"/>
      <c r="M230" s="584"/>
      <c r="N230" s="584"/>
      <c r="O230" s="94"/>
      <c r="P230" s="94"/>
      <c r="Q230" s="637" t="s">
        <v>533</v>
      </c>
      <c r="R230" s="637"/>
      <c r="S230" s="584" t="s">
        <v>528</v>
      </c>
      <c r="T230" s="584"/>
      <c r="U230" s="584"/>
      <c r="V230" s="584"/>
      <c r="W230" s="584"/>
      <c r="X230" s="584"/>
      <c r="Y230" s="584"/>
      <c r="Z230" s="584"/>
      <c r="AA230" s="584"/>
      <c r="AB230" s="584"/>
      <c r="AC230" s="92"/>
      <c r="AD230" s="93"/>
      <c r="AE230" s="710" t="s">
        <v>519</v>
      </c>
      <c r="AF230" s="710"/>
      <c r="AG230" s="638" t="str">
        <f>U12組合せ!J14</f>
        <v>ウエストフットコムU11</v>
      </c>
      <c r="AH230" s="638"/>
      <c r="AI230" s="638"/>
      <c r="AJ230" s="638"/>
      <c r="AK230" s="638"/>
      <c r="AL230" s="638"/>
      <c r="AM230" s="638"/>
      <c r="AN230" s="638"/>
      <c r="AO230" s="638"/>
      <c r="AP230" s="638"/>
    </row>
    <row r="231" spans="1:45" ht="30" customHeight="1" x14ac:dyDescent="0.4">
      <c r="C231" s="636" t="s">
        <v>468</v>
      </c>
      <c r="D231" s="636"/>
      <c r="E231" s="709" t="s">
        <v>503</v>
      </c>
      <c r="F231" s="709"/>
      <c r="G231" s="709"/>
      <c r="H231" s="709"/>
      <c r="I231" s="709"/>
      <c r="J231" s="709"/>
      <c r="K231" s="709"/>
      <c r="L231" s="709"/>
      <c r="M231" s="709"/>
      <c r="N231" s="709"/>
      <c r="O231" s="94"/>
      <c r="P231" s="94"/>
      <c r="Q231" s="637" t="s">
        <v>511</v>
      </c>
      <c r="R231" s="637"/>
      <c r="S231" s="584" t="s">
        <v>529</v>
      </c>
      <c r="T231" s="584"/>
      <c r="U231" s="584"/>
      <c r="V231" s="584"/>
      <c r="W231" s="584"/>
      <c r="X231" s="584"/>
      <c r="Y231" s="584"/>
      <c r="Z231" s="584"/>
      <c r="AA231" s="584"/>
      <c r="AB231" s="584"/>
      <c r="AC231" s="92"/>
      <c r="AD231" s="93"/>
      <c r="AE231" s="710" t="s">
        <v>517</v>
      </c>
      <c r="AF231" s="710"/>
      <c r="AG231" s="638" t="str">
        <f>U12組合せ!J18</f>
        <v>ジュベニール</v>
      </c>
      <c r="AH231" s="638"/>
      <c r="AI231" s="638"/>
      <c r="AJ231" s="638"/>
      <c r="AK231" s="638"/>
      <c r="AL231" s="638"/>
      <c r="AM231" s="638"/>
      <c r="AN231" s="638"/>
      <c r="AO231" s="638"/>
      <c r="AP231" s="638"/>
    </row>
    <row r="232" spans="1:45" ht="12" customHeight="1" x14ac:dyDescent="0.4">
      <c r="B232" s="102"/>
      <c r="O232" s="102"/>
      <c r="P232" s="102"/>
      <c r="AC232" s="95"/>
      <c r="AD232" s="102"/>
      <c r="AE232" s="102"/>
      <c r="AF232" s="102"/>
      <c r="AG232" s="102"/>
    </row>
    <row r="233" spans="1:45" ht="12" customHeight="1" x14ac:dyDescent="0.4">
      <c r="C233" s="117"/>
      <c r="D233" s="118"/>
      <c r="E233" s="118"/>
      <c r="F233" s="118"/>
      <c r="G233" s="118"/>
      <c r="H233" s="118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18"/>
      <c r="U233" s="102"/>
      <c r="V233" s="118"/>
      <c r="W233" s="102"/>
      <c r="X233" s="118"/>
      <c r="Y233" s="102"/>
      <c r="Z233" s="118"/>
      <c r="AA233" s="102"/>
      <c r="AB233" s="118"/>
      <c r="AC233" s="118"/>
    </row>
    <row r="234" spans="1:45" ht="21.75" customHeight="1" x14ac:dyDescent="0.4">
      <c r="B234" s="118" t="str">
        <f ca="1">IF(B236="①","【監督会議 8：20～】","【監督会議 12：50～】")</f>
        <v>【監督会議 8：20～】</v>
      </c>
      <c r="I234" s="96" t="s">
        <v>330</v>
      </c>
    </row>
    <row r="235" spans="1:45" ht="19.5" customHeight="1" x14ac:dyDescent="0.4">
      <c r="B235" s="97"/>
      <c r="C235" s="711" t="s">
        <v>3</v>
      </c>
      <c r="D235" s="711"/>
      <c r="E235" s="711"/>
      <c r="F235" s="712" t="s">
        <v>4</v>
      </c>
      <c r="G235" s="712"/>
      <c r="H235" s="712"/>
      <c r="I235" s="712"/>
      <c r="J235" s="711" t="s">
        <v>5</v>
      </c>
      <c r="K235" s="713"/>
      <c r="L235" s="713"/>
      <c r="M235" s="713"/>
      <c r="N235" s="713"/>
      <c r="O235" s="713"/>
      <c r="P235" s="713"/>
      <c r="Q235" s="711" t="s">
        <v>32</v>
      </c>
      <c r="R235" s="711"/>
      <c r="S235" s="711"/>
      <c r="T235" s="711"/>
      <c r="U235" s="711"/>
      <c r="V235" s="711"/>
      <c r="W235" s="711"/>
      <c r="X235" s="711" t="s">
        <v>5</v>
      </c>
      <c r="Y235" s="713"/>
      <c r="Z235" s="713"/>
      <c r="AA235" s="713"/>
      <c r="AB235" s="713"/>
      <c r="AC235" s="713"/>
      <c r="AD235" s="713"/>
      <c r="AE235" s="712" t="s">
        <v>4</v>
      </c>
      <c r="AF235" s="712"/>
      <c r="AG235" s="712"/>
      <c r="AH235" s="712"/>
      <c r="AI235" s="711" t="s">
        <v>6</v>
      </c>
      <c r="AJ235" s="711"/>
      <c r="AK235" s="713"/>
      <c r="AL235" s="713"/>
      <c r="AM235" s="713"/>
      <c r="AN235" s="713"/>
      <c r="AO235" s="713"/>
      <c r="AP235" s="713"/>
    </row>
    <row r="236" spans="1:45" ht="19.5" customHeight="1" x14ac:dyDescent="0.4">
      <c r="B236" s="644" t="str">
        <f ca="1">DBCS(INDIRECT("U12対戦スケジュール!m"&amp;(ROW())/2-AR$228))</f>
        <v>①</v>
      </c>
      <c r="C236" s="645">
        <f ca="1">INDIRECT("U12対戦スケジュール!n"&amp;(ROW())/2-AR$228)</f>
        <v>0.375</v>
      </c>
      <c r="D236" s="646"/>
      <c r="E236" s="647"/>
      <c r="F236" s="583"/>
      <c r="G236" s="583"/>
      <c r="H236" s="583"/>
      <c r="I236" s="583"/>
      <c r="J236" s="746" t="str">
        <f ca="1">VLOOKUP(AR236,U12組合せ!B$10:K$19,7,TRUE)</f>
        <v>カテット白沢SS</v>
      </c>
      <c r="K236" s="747"/>
      <c r="L236" s="747"/>
      <c r="M236" s="747"/>
      <c r="N236" s="747"/>
      <c r="O236" s="747"/>
      <c r="P236" s="747"/>
      <c r="Q236" s="628">
        <f>IF(OR(S236="",S237=""),"",S236+S237)</f>
        <v>1</v>
      </c>
      <c r="R236" s="630"/>
      <c r="S236" s="100">
        <v>0</v>
      </c>
      <c r="T236" s="101" t="s">
        <v>7</v>
      </c>
      <c r="U236" s="100">
        <v>0</v>
      </c>
      <c r="V236" s="628">
        <f>IF(OR(U236="",U237=""),"",U236+U237)</f>
        <v>1</v>
      </c>
      <c r="W236" s="630"/>
      <c r="X236" s="746" t="str">
        <f ca="1">VLOOKUP(AS236,U12組合せ!B$10:K$19,7,TRUE)</f>
        <v>ともぞうSC　U11</v>
      </c>
      <c r="Y236" s="747"/>
      <c r="Z236" s="747"/>
      <c r="AA236" s="747"/>
      <c r="AB236" s="747"/>
      <c r="AC236" s="747"/>
      <c r="AD236" s="747"/>
      <c r="AE236" s="583"/>
      <c r="AF236" s="583"/>
      <c r="AG236" s="583"/>
      <c r="AH236" s="583"/>
      <c r="AI236" s="758" t="str">
        <f ca="1">DBCS(INDIRECT("U12対戦スケジュール!r"&amp;(ROW())/2-AR$228))</f>
        <v>Ｃ９／Ｄ１／Ｄ５／Ｃ９</v>
      </c>
      <c r="AJ236" s="759"/>
      <c r="AK236" s="759"/>
      <c r="AL236" s="759"/>
      <c r="AM236" s="759"/>
      <c r="AN236" s="759"/>
      <c r="AO236" s="759"/>
      <c r="AP236" s="760"/>
      <c r="AR236" s="119">
        <f ca="1">INDIRECT("U12対戦スケジュール!o"&amp;(ROW())/2-AR$228)</f>
        <v>2</v>
      </c>
      <c r="AS236" s="119">
        <f ca="1">INDIRECT("U12対戦スケジュール!q"&amp;(ROW())/2-AR$228)</f>
        <v>4</v>
      </c>
    </row>
    <row r="237" spans="1:45" ht="19.5" customHeight="1" x14ac:dyDescent="0.4">
      <c r="B237" s="644"/>
      <c r="C237" s="648"/>
      <c r="D237" s="649"/>
      <c r="E237" s="650"/>
      <c r="F237" s="583"/>
      <c r="G237" s="583"/>
      <c r="H237" s="583"/>
      <c r="I237" s="583"/>
      <c r="J237" s="747"/>
      <c r="K237" s="747"/>
      <c r="L237" s="747"/>
      <c r="M237" s="747"/>
      <c r="N237" s="747"/>
      <c r="O237" s="747"/>
      <c r="P237" s="747"/>
      <c r="Q237" s="631"/>
      <c r="R237" s="633"/>
      <c r="S237" s="100">
        <v>1</v>
      </c>
      <c r="T237" s="101" t="s">
        <v>7</v>
      </c>
      <c r="U237" s="100">
        <v>1</v>
      </c>
      <c r="V237" s="631"/>
      <c r="W237" s="633"/>
      <c r="X237" s="747"/>
      <c r="Y237" s="747"/>
      <c r="Z237" s="747"/>
      <c r="AA237" s="747"/>
      <c r="AB237" s="747"/>
      <c r="AC237" s="747"/>
      <c r="AD237" s="747"/>
      <c r="AE237" s="583"/>
      <c r="AF237" s="583"/>
      <c r="AG237" s="583"/>
      <c r="AH237" s="583"/>
      <c r="AI237" s="761"/>
      <c r="AJ237" s="762"/>
      <c r="AK237" s="762"/>
      <c r="AL237" s="762"/>
      <c r="AM237" s="762"/>
      <c r="AN237" s="762"/>
      <c r="AO237" s="762"/>
      <c r="AP237" s="763"/>
      <c r="AR237" s="119"/>
      <c r="AS237" s="119"/>
    </row>
    <row r="238" spans="1:45" ht="19.5" customHeight="1" x14ac:dyDescent="0.4">
      <c r="B238" s="644" t="str">
        <f t="shared" ref="B238" ca="1" si="10">DBCS(INDIRECT("U12対戦スケジュール!m"&amp;(ROW())/2-AR$228))</f>
        <v>②</v>
      </c>
      <c r="C238" s="645">
        <f t="shared" ref="C238" ca="1" si="11">INDIRECT("U12対戦スケジュール!n"&amp;(ROW())/2-AR$228)</f>
        <v>0.41699999999999998</v>
      </c>
      <c r="D238" s="646"/>
      <c r="E238" s="647"/>
      <c r="F238" s="583"/>
      <c r="G238" s="583"/>
      <c r="H238" s="583"/>
      <c r="I238" s="583"/>
      <c r="J238" s="746" t="str">
        <f ca="1">VLOOKUP(AR238,U12組合せ!B$10:K$19,7,TRUE)</f>
        <v>みはらSC jr</v>
      </c>
      <c r="K238" s="747"/>
      <c r="L238" s="747"/>
      <c r="M238" s="747"/>
      <c r="N238" s="747"/>
      <c r="O238" s="747"/>
      <c r="P238" s="747"/>
      <c r="Q238" s="634">
        <f>IF(OR(S238="",S239=""),"",S238+S239)</f>
        <v>1</v>
      </c>
      <c r="R238" s="634"/>
      <c r="S238" s="100">
        <v>1</v>
      </c>
      <c r="T238" s="101" t="s">
        <v>7</v>
      </c>
      <c r="U238" s="100">
        <v>1</v>
      </c>
      <c r="V238" s="634">
        <f>IF(OR(U238="",U239=""),"",U238+U239)</f>
        <v>3</v>
      </c>
      <c r="W238" s="634"/>
      <c r="X238" s="746" t="str">
        <f ca="1">VLOOKUP(AS238,U12組合せ!B$10:K$19,7,TRUE)</f>
        <v>ともぞうSC　U11</v>
      </c>
      <c r="Y238" s="747"/>
      <c r="Z238" s="747"/>
      <c r="AA238" s="747"/>
      <c r="AB238" s="747"/>
      <c r="AC238" s="747"/>
      <c r="AD238" s="747"/>
      <c r="AE238" s="583"/>
      <c r="AF238" s="583"/>
      <c r="AG238" s="583"/>
      <c r="AH238" s="583"/>
      <c r="AI238" s="758" t="str">
        <f ca="1">DBCS(INDIRECT("U12対戦スケジュール!r"&amp;(ROW())/2-AR$228))</f>
        <v>Ｃ２／Ｄ５／Ｄ９／Ｃ２</v>
      </c>
      <c r="AJ238" s="759"/>
      <c r="AK238" s="759"/>
      <c r="AL238" s="759"/>
      <c r="AM238" s="759"/>
      <c r="AN238" s="759"/>
      <c r="AO238" s="759"/>
      <c r="AP238" s="760"/>
      <c r="AR238" s="119">
        <f ca="1">INDIRECT("U12対戦スケジュール!o"&amp;(ROW())/2-AR$228)</f>
        <v>9</v>
      </c>
      <c r="AS238" s="119">
        <f ca="1">INDIRECT("U12対戦スケジュール!q"&amp;(ROW())/2-AR$228)</f>
        <v>4</v>
      </c>
    </row>
    <row r="239" spans="1:45" ht="19.5" customHeight="1" x14ac:dyDescent="0.4">
      <c r="B239" s="644"/>
      <c r="C239" s="648"/>
      <c r="D239" s="649"/>
      <c r="E239" s="650"/>
      <c r="F239" s="583"/>
      <c r="G239" s="583"/>
      <c r="H239" s="583"/>
      <c r="I239" s="583"/>
      <c r="J239" s="747"/>
      <c r="K239" s="747"/>
      <c r="L239" s="747"/>
      <c r="M239" s="747"/>
      <c r="N239" s="747"/>
      <c r="O239" s="747"/>
      <c r="P239" s="747"/>
      <c r="Q239" s="634"/>
      <c r="R239" s="634"/>
      <c r="S239" s="100">
        <v>0</v>
      </c>
      <c r="T239" s="101" t="s">
        <v>7</v>
      </c>
      <c r="U239" s="100">
        <v>2</v>
      </c>
      <c r="V239" s="634"/>
      <c r="W239" s="634"/>
      <c r="X239" s="747"/>
      <c r="Y239" s="747"/>
      <c r="Z239" s="747"/>
      <c r="AA239" s="747"/>
      <c r="AB239" s="747"/>
      <c r="AC239" s="747"/>
      <c r="AD239" s="747"/>
      <c r="AE239" s="583"/>
      <c r="AF239" s="583"/>
      <c r="AG239" s="583"/>
      <c r="AH239" s="583"/>
      <c r="AI239" s="761"/>
      <c r="AJ239" s="762"/>
      <c r="AK239" s="762"/>
      <c r="AL239" s="762"/>
      <c r="AM239" s="762"/>
      <c r="AN239" s="762"/>
      <c r="AO239" s="762"/>
      <c r="AP239" s="763"/>
      <c r="AR239" s="119"/>
      <c r="AS239" s="119"/>
    </row>
    <row r="240" spans="1:45" ht="19.5" customHeight="1" x14ac:dyDescent="0.4">
      <c r="B240" s="644" t="str">
        <f t="shared" ref="B240" ca="1" si="12">DBCS(INDIRECT("U12対戦スケジュール!m"&amp;(ROW())/2-AR$228))</f>
        <v>③</v>
      </c>
      <c r="C240" s="645">
        <f t="shared" ref="C240" ca="1" si="13">INDIRECT("U12対戦スケジュール!n"&amp;(ROW())/2-AR$228)</f>
        <v>0.45899999999999996</v>
      </c>
      <c r="D240" s="646"/>
      <c r="E240" s="647"/>
      <c r="F240" s="583"/>
      <c r="G240" s="583"/>
      <c r="H240" s="583"/>
      <c r="I240" s="583"/>
      <c r="J240" s="746" t="str">
        <f ca="1">VLOOKUP(AR240,U12組合せ!B$10:K$19,7,TRUE)</f>
        <v>みはらSC jr</v>
      </c>
      <c r="K240" s="747"/>
      <c r="L240" s="747"/>
      <c r="M240" s="747"/>
      <c r="N240" s="747"/>
      <c r="O240" s="747"/>
      <c r="P240" s="747"/>
      <c r="Q240" s="634">
        <f>IF(OR(S240="",S241=""),"",S240+S241)</f>
        <v>4</v>
      </c>
      <c r="R240" s="634"/>
      <c r="S240" s="100">
        <v>3</v>
      </c>
      <c r="T240" s="101" t="s">
        <v>7</v>
      </c>
      <c r="U240" s="100">
        <v>0</v>
      </c>
      <c r="V240" s="634">
        <f>IF(OR(U240="",U241=""),"",U240+U241)</f>
        <v>0</v>
      </c>
      <c r="W240" s="634"/>
      <c r="X240" s="746" t="str">
        <f ca="1">VLOOKUP(AS240,U12組合せ!B$10:K$19,7,TRUE)</f>
        <v>カテット白沢SS</v>
      </c>
      <c r="Y240" s="747"/>
      <c r="Z240" s="747"/>
      <c r="AA240" s="747"/>
      <c r="AB240" s="747"/>
      <c r="AC240" s="747"/>
      <c r="AD240" s="747"/>
      <c r="AE240" s="583"/>
      <c r="AF240" s="583"/>
      <c r="AG240" s="583"/>
      <c r="AH240" s="583"/>
      <c r="AI240" s="758" t="str">
        <f ca="1">DBCS(INDIRECT("U12対戦スケジュール!r"&amp;(ROW())/2-AR$228))</f>
        <v>Ｃ４／Ｄ９／Ｄ１／Ｃ４</v>
      </c>
      <c r="AJ240" s="759"/>
      <c r="AK240" s="759"/>
      <c r="AL240" s="759"/>
      <c r="AM240" s="759"/>
      <c r="AN240" s="759"/>
      <c r="AO240" s="759"/>
      <c r="AP240" s="760"/>
      <c r="AR240" s="119">
        <f ca="1">INDIRECT("U12対戦スケジュール!o"&amp;(ROW())/2-AR$228)</f>
        <v>9</v>
      </c>
      <c r="AS240" s="119">
        <f ca="1">INDIRECT("U12対戦スケジュール!q"&amp;(ROW())/2-AR$228)</f>
        <v>2</v>
      </c>
    </row>
    <row r="241" spans="1:45" ht="19.5" customHeight="1" x14ac:dyDescent="0.4">
      <c r="B241" s="644"/>
      <c r="C241" s="648"/>
      <c r="D241" s="649"/>
      <c r="E241" s="650"/>
      <c r="F241" s="583"/>
      <c r="G241" s="583"/>
      <c r="H241" s="583"/>
      <c r="I241" s="583"/>
      <c r="J241" s="747"/>
      <c r="K241" s="747"/>
      <c r="L241" s="747"/>
      <c r="M241" s="747"/>
      <c r="N241" s="747"/>
      <c r="O241" s="747"/>
      <c r="P241" s="747"/>
      <c r="Q241" s="634"/>
      <c r="R241" s="634"/>
      <c r="S241" s="100">
        <v>1</v>
      </c>
      <c r="T241" s="101" t="s">
        <v>7</v>
      </c>
      <c r="U241" s="100">
        <v>0</v>
      </c>
      <c r="V241" s="634"/>
      <c r="W241" s="634"/>
      <c r="X241" s="747"/>
      <c r="Y241" s="747"/>
      <c r="Z241" s="747"/>
      <c r="AA241" s="747"/>
      <c r="AB241" s="747"/>
      <c r="AC241" s="747"/>
      <c r="AD241" s="747"/>
      <c r="AE241" s="583"/>
      <c r="AF241" s="583"/>
      <c r="AG241" s="583"/>
      <c r="AH241" s="583"/>
      <c r="AI241" s="761"/>
      <c r="AJ241" s="762"/>
      <c r="AK241" s="762"/>
      <c r="AL241" s="762"/>
      <c r="AM241" s="762"/>
      <c r="AN241" s="762"/>
      <c r="AO241" s="762"/>
      <c r="AP241" s="763"/>
      <c r="AR241" s="119"/>
      <c r="AS241" s="119"/>
    </row>
    <row r="242" spans="1:45" ht="19.5" customHeight="1" x14ac:dyDescent="0.4">
      <c r="B242" s="586"/>
      <c r="C242" s="739"/>
      <c r="D242" s="740"/>
      <c r="E242" s="741"/>
      <c r="F242" s="704"/>
      <c r="G242" s="704"/>
      <c r="H242" s="704"/>
      <c r="I242" s="704"/>
      <c r="J242" s="701"/>
      <c r="K242" s="702"/>
      <c r="L242" s="702"/>
      <c r="M242" s="702"/>
      <c r="N242" s="702"/>
      <c r="O242" s="702"/>
      <c r="P242" s="702"/>
      <c r="Q242" s="705"/>
      <c r="R242" s="705"/>
      <c r="S242" s="109"/>
      <c r="T242" s="110"/>
      <c r="U242" s="109"/>
      <c r="V242" s="705"/>
      <c r="W242" s="705"/>
      <c r="X242" s="701"/>
      <c r="Y242" s="702"/>
      <c r="Z242" s="702"/>
      <c r="AA242" s="702"/>
      <c r="AB242" s="702"/>
      <c r="AC242" s="702"/>
      <c r="AD242" s="702"/>
      <c r="AE242" s="704"/>
      <c r="AF242" s="704"/>
      <c r="AG242" s="704"/>
      <c r="AH242" s="704"/>
      <c r="AI242" s="706"/>
      <c r="AJ242" s="707"/>
      <c r="AK242" s="707"/>
      <c r="AL242" s="707"/>
      <c r="AM242" s="707"/>
      <c r="AN242" s="707"/>
      <c r="AO242" s="707"/>
      <c r="AP242" s="707"/>
      <c r="AR242" s="119"/>
      <c r="AS242" s="119"/>
    </row>
    <row r="243" spans="1:45" ht="19.5" customHeight="1" x14ac:dyDescent="0.4">
      <c r="B243" s="644"/>
      <c r="C243" s="648"/>
      <c r="D243" s="649"/>
      <c r="E243" s="650"/>
      <c r="F243" s="583"/>
      <c r="G243" s="583"/>
      <c r="H243" s="583"/>
      <c r="I243" s="583"/>
      <c r="J243" s="703"/>
      <c r="K243" s="703"/>
      <c r="L243" s="703"/>
      <c r="M243" s="703"/>
      <c r="N243" s="703"/>
      <c r="O243" s="703"/>
      <c r="P243" s="703"/>
      <c r="Q243" s="634"/>
      <c r="R243" s="634"/>
      <c r="S243" s="100"/>
      <c r="T243" s="101"/>
      <c r="U243" s="100"/>
      <c r="V243" s="634"/>
      <c r="W243" s="634"/>
      <c r="X243" s="703"/>
      <c r="Y243" s="703"/>
      <c r="Z243" s="703"/>
      <c r="AA243" s="703"/>
      <c r="AB243" s="703"/>
      <c r="AC243" s="703"/>
      <c r="AD243" s="703"/>
      <c r="AE243" s="583"/>
      <c r="AF243" s="583"/>
      <c r="AG243" s="583"/>
      <c r="AH243" s="583"/>
      <c r="AI243" s="708"/>
      <c r="AJ243" s="708"/>
      <c r="AK243" s="708"/>
      <c r="AL243" s="708"/>
      <c r="AM243" s="708"/>
      <c r="AN243" s="708"/>
      <c r="AO243" s="708"/>
      <c r="AP243" s="708"/>
      <c r="AR243" s="119"/>
      <c r="AS243" s="119"/>
    </row>
    <row r="244" spans="1:45" ht="19.5" customHeight="1" x14ac:dyDescent="0.4">
      <c r="B244" s="585"/>
      <c r="C244" s="587"/>
      <c r="D244" s="588"/>
      <c r="E244" s="589"/>
      <c r="F244" s="622"/>
      <c r="G244" s="623"/>
      <c r="H244" s="623"/>
      <c r="I244" s="624"/>
      <c r="J244" s="689"/>
      <c r="K244" s="690"/>
      <c r="L244" s="690"/>
      <c r="M244" s="690"/>
      <c r="N244" s="690"/>
      <c r="O244" s="690"/>
      <c r="P244" s="691"/>
      <c r="Q244" s="628"/>
      <c r="R244" s="630"/>
      <c r="S244" s="100"/>
      <c r="T244" s="101"/>
      <c r="U244" s="100"/>
      <c r="V244" s="628"/>
      <c r="W244" s="630"/>
      <c r="X244" s="695"/>
      <c r="Y244" s="696"/>
      <c r="Z244" s="696"/>
      <c r="AA244" s="696"/>
      <c r="AB244" s="696"/>
      <c r="AC244" s="696"/>
      <c r="AD244" s="697"/>
      <c r="AE244" s="622"/>
      <c r="AF244" s="623"/>
      <c r="AG244" s="623"/>
      <c r="AH244" s="624"/>
      <c r="AI244" s="628"/>
      <c r="AJ244" s="629"/>
      <c r="AK244" s="629"/>
      <c r="AL244" s="629"/>
      <c r="AM244" s="629"/>
      <c r="AN244" s="629"/>
      <c r="AO244" s="629"/>
      <c r="AP244" s="630"/>
    </row>
    <row r="245" spans="1:45" ht="19.5" customHeight="1" x14ac:dyDescent="0.4">
      <c r="B245" s="586"/>
      <c r="C245" s="590"/>
      <c r="D245" s="591"/>
      <c r="E245" s="592"/>
      <c r="F245" s="625"/>
      <c r="G245" s="626"/>
      <c r="H245" s="626"/>
      <c r="I245" s="627"/>
      <c r="J245" s="692"/>
      <c r="K245" s="693"/>
      <c r="L245" s="693"/>
      <c r="M245" s="693"/>
      <c r="N245" s="693"/>
      <c r="O245" s="693"/>
      <c r="P245" s="694"/>
      <c r="Q245" s="631"/>
      <c r="R245" s="633"/>
      <c r="S245" s="100"/>
      <c r="T245" s="101"/>
      <c r="U245" s="100"/>
      <c r="V245" s="631"/>
      <c r="W245" s="633"/>
      <c r="X245" s="698"/>
      <c r="Y245" s="699"/>
      <c r="Z245" s="699"/>
      <c r="AA245" s="699"/>
      <c r="AB245" s="699"/>
      <c r="AC245" s="699"/>
      <c r="AD245" s="700"/>
      <c r="AE245" s="625"/>
      <c r="AF245" s="626"/>
      <c r="AG245" s="626"/>
      <c r="AH245" s="627"/>
      <c r="AI245" s="631"/>
      <c r="AJ245" s="632"/>
      <c r="AK245" s="632"/>
      <c r="AL245" s="632"/>
      <c r="AM245" s="632"/>
      <c r="AN245" s="632"/>
      <c r="AO245" s="632"/>
      <c r="AP245" s="633"/>
    </row>
    <row r="246" spans="1:45" ht="19.5" customHeight="1" x14ac:dyDescent="0.4">
      <c r="B246" s="585"/>
      <c r="C246" s="587"/>
      <c r="D246" s="588"/>
      <c r="E246" s="589"/>
      <c r="F246" s="622"/>
      <c r="G246" s="623"/>
      <c r="H246" s="623"/>
      <c r="I246" s="624"/>
      <c r="J246" s="689"/>
      <c r="K246" s="690"/>
      <c r="L246" s="690"/>
      <c r="M246" s="690"/>
      <c r="N246" s="690"/>
      <c r="O246" s="690"/>
      <c r="P246" s="691"/>
      <c r="Q246" s="628"/>
      <c r="R246" s="630"/>
      <c r="S246" s="100"/>
      <c r="T246" s="101"/>
      <c r="U246" s="100"/>
      <c r="V246" s="628"/>
      <c r="W246" s="630"/>
      <c r="X246" s="695"/>
      <c r="Y246" s="696"/>
      <c r="Z246" s="696"/>
      <c r="AA246" s="696"/>
      <c r="AB246" s="696"/>
      <c r="AC246" s="696"/>
      <c r="AD246" s="697"/>
      <c r="AE246" s="622"/>
      <c r="AF246" s="623"/>
      <c r="AG246" s="623"/>
      <c r="AH246" s="624"/>
      <c r="AI246" s="628"/>
      <c r="AJ246" s="629"/>
      <c r="AK246" s="629"/>
      <c r="AL246" s="629"/>
      <c r="AM246" s="629"/>
      <c r="AN246" s="629"/>
      <c r="AO246" s="629"/>
      <c r="AP246" s="630"/>
    </row>
    <row r="247" spans="1:45" ht="19.5" customHeight="1" x14ac:dyDescent="0.4">
      <c r="B247" s="586"/>
      <c r="C247" s="590"/>
      <c r="D247" s="591"/>
      <c r="E247" s="592"/>
      <c r="F247" s="625"/>
      <c r="G247" s="626"/>
      <c r="H247" s="626"/>
      <c r="I247" s="627"/>
      <c r="J247" s="692"/>
      <c r="K247" s="693"/>
      <c r="L247" s="693"/>
      <c r="M247" s="693"/>
      <c r="N247" s="693"/>
      <c r="O247" s="693"/>
      <c r="P247" s="694"/>
      <c r="Q247" s="631"/>
      <c r="R247" s="633"/>
      <c r="S247" s="100"/>
      <c r="T247" s="101"/>
      <c r="U247" s="100"/>
      <c r="V247" s="631"/>
      <c r="W247" s="633"/>
      <c r="X247" s="698"/>
      <c r="Y247" s="699"/>
      <c r="Z247" s="699"/>
      <c r="AA247" s="699"/>
      <c r="AB247" s="699"/>
      <c r="AC247" s="699"/>
      <c r="AD247" s="700"/>
      <c r="AE247" s="625"/>
      <c r="AF247" s="626"/>
      <c r="AG247" s="626"/>
      <c r="AH247" s="627"/>
      <c r="AI247" s="631"/>
      <c r="AJ247" s="632"/>
      <c r="AK247" s="632"/>
      <c r="AL247" s="632"/>
      <c r="AM247" s="632"/>
      <c r="AN247" s="632"/>
      <c r="AO247" s="632"/>
      <c r="AP247" s="633"/>
    </row>
    <row r="248" spans="1:45" ht="16.5" x14ac:dyDescent="0.4">
      <c r="B248" s="585"/>
      <c r="C248" s="587"/>
      <c r="D248" s="588"/>
      <c r="E248" s="589"/>
      <c r="F248" s="622"/>
      <c r="G248" s="623"/>
      <c r="H248" s="623"/>
      <c r="I248" s="624"/>
      <c r="J248" s="689"/>
      <c r="K248" s="690"/>
      <c r="L248" s="690"/>
      <c r="M248" s="690"/>
      <c r="N248" s="690"/>
      <c r="O248" s="690"/>
      <c r="P248" s="691"/>
      <c r="Q248" s="628"/>
      <c r="R248" s="630"/>
      <c r="S248" s="100"/>
      <c r="T248" s="101"/>
      <c r="U248" s="100"/>
      <c r="V248" s="628"/>
      <c r="W248" s="630"/>
      <c r="X248" s="695"/>
      <c r="Y248" s="696"/>
      <c r="Z248" s="696"/>
      <c r="AA248" s="696"/>
      <c r="AB248" s="696"/>
      <c r="AC248" s="696"/>
      <c r="AD248" s="697"/>
      <c r="AE248" s="622"/>
      <c r="AF248" s="623"/>
      <c r="AG248" s="623"/>
      <c r="AH248" s="624"/>
      <c r="AI248" s="628"/>
      <c r="AJ248" s="629"/>
      <c r="AK248" s="629"/>
      <c r="AL248" s="629"/>
      <c r="AM248" s="629"/>
      <c r="AN248" s="629"/>
      <c r="AO248" s="629"/>
      <c r="AP248" s="630"/>
    </row>
    <row r="249" spans="1:45" ht="16.5" x14ac:dyDescent="0.4">
      <c r="B249" s="586"/>
      <c r="C249" s="590"/>
      <c r="D249" s="591"/>
      <c r="E249" s="592"/>
      <c r="F249" s="625"/>
      <c r="G249" s="626"/>
      <c r="H249" s="626"/>
      <c r="I249" s="627"/>
      <c r="J249" s="692"/>
      <c r="K249" s="693"/>
      <c r="L249" s="693"/>
      <c r="M249" s="693"/>
      <c r="N249" s="693"/>
      <c r="O249" s="693"/>
      <c r="P249" s="694"/>
      <c r="Q249" s="631"/>
      <c r="R249" s="633"/>
      <c r="S249" s="100"/>
      <c r="T249" s="101"/>
      <c r="U249" s="100"/>
      <c r="V249" s="631"/>
      <c r="W249" s="633"/>
      <c r="X249" s="698"/>
      <c r="Y249" s="699"/>
      <c r="Z249" s="699"/>
      <c r="AA249" s="699"/>
      <c r="AB249" s="699"/>
      <c r="AC249" s="699"/>
      <c r="AD249" s="700"/>
      <c r="AE249" s="625"/>
      <c r="AF249" s="626"/>
      <c r="AG249" s="626"/>
      <c r="AH249" s="627"/>
      <c r="AI249" s="631"/>
      <c r="AJ249" s="632"/>
      <c r="AK249" s="632"/>
      <c r="AL249" s="632"/>
      <c r="AM249" s="632"/>
      <c r="AN249" s="632"/>
      <c r="AO249" s="632"/>
      <c r="AP249" s="633"/>
    </row>
    <row r="250" spans="1:45" ht="20.25" thickBot="1" x14ac:dyDescent="0.45">
      <c r="A250" s="102"/>
      <c r="B250" s="103"/>
      <c r="C250" s="104"/>
      <c r="D250" s="104"/>
      <c r="E250" s="104"/>
      <c r="F250" s="103"/>
      <c r="G250" s="103"/>
      <c r="H250" s="103"/>
      <c r="I250" s="103"/>
      <c r="J250" s="103"/>
      <c r="K250" s="105"/>
      <c r="L250" s="105"/>
      <c r="M250" s="106"/>
      <c r="N250" s="107"/>
      <c r="O250" s="106"/>
      <c r="P250" s="105"/>
      <c r="Q250" s="105"/>
      <c r="R250" s="103"/>
      <c r="S250" s="103"/>
      <c r="T250" s="103"/>
      <c r="U250" s="103"/>
      <c r="V250" s="103"/>
      <c r="W250" s="108"/>
      <c r="X250" s="108"/>
      <c r="Y250" s="108"/>
      <c r="Z250" s="108"/>
      <c r="AA250" s="108"/>
      <c r="AB250" s="108"/>
      <c r="AC250" s="102"/>
    </row>
    <row r="251" spans="1:45" ht="20.25" thickBot="1" x14ac:dyDescent="0.45">
      <c r="D251" s="664" t="s">
        <v>8</v>
      </c>
      <c r="E251" s="665"/>
      <c r="F251" s="665"/>
      <c r="G251" s="665"/>
      <c r="H251" s="665"/>
      <c r="I251" s="666"/>
      <c r="J251" s="667" t="s">
        <v>5</v>
      </c>
      <c r="K251" s="665"/>
      <c r="L251" s="665"/>
      <c r="M251" s="665"/>
      <c r="N251" s="665"/>
      <c r="O251" s="665"/>
      <c r="P251" s="665"/>
      <c r="Q251" s="666"/>
      <c r="R251" s="668" t="s">
        <v>9</v>
      </c>
      <c r="S251" s="669"/>
      <c r="T251" s="669"/>
      <c r="U251" s="669"/>
      <c r="V251" s="669"/>
      <c r="W251" s="669"/>
      <c r="X251" s="669"/>
      <c r="Y251" s="669"/>
      <c r="Z251" s="670"/>
      <c r="AA251" s="609" t="s">
        <v>10</v>
      </c>
      <c r="AB251" s="610"/>
      <c r="AC251" s="671"/>
      <c r="AD251" s="609" t="s">
        <v>11</v>
      </c>
      <c r="AE251" s="610"/>
      <c r="AF251" s="610"/>
      <c r="AG251" s="610"/>
      <c r="AH251" s="610"/>
      <c r="AI251" s="610"/>
      <c r="AJ251" s="610"/>
      <c r="AK251" s="610"/>
      <c r="AL251" s="610"/>
      <c r="AM251" s="611"/>
    </row>
    <row r="252" spans="1:45" ht="28.5" customHeight="1" x14ac:dyDescent="0.4">
      <c r="D252" s="651" t="s">
        <v>298</v>
      </c>
      <c r="E252" s="652"/>
      <c r="F252" s="652"/>
      <c r="G252" s="652"/>
      <c r="H252" s="652"/>
      <c r="I252" s="653"/>
      <c r="J252" s="654"/>
      <c r="K252" s="652"/>
      <c r="L252" s="652"/>
      <c r="M252" s="652"/>
      <c r="N252" s="652"/>
      <c r="O252" s="652"/>
      <c r="P252" s="652"/>
      <c r="Q252" s="653"/>
      <c r="R252" s="655"/>
      <c r="S252" s="656"/>
      <c r="T252" s="656"/>
      <c r="U252" s="656"/>
      <c r="V252" s="656"/>
      <c r="W252" s="656"/>
      <c r="X252" s="656"/>
      <c r="Y252" s="656"/>
      <c r="Z252" s="657"/>
      <c r="AA252" s="658"/>
      <c r="AB252" s="659"/>
      <c r="AC252" s="660"/>
      <c r="AD252" s="661"/>
      <c r="AE252" s="662"/>
      <c r="AF252" s="662"/>
      <c r="AG252" s="662"/>
      <c r="AH252" s="662"/>
      <c r="AI252" s="662"/>
      <c r="AJ252" s="662"/>
      <c r="AK252" s="662"/>
      <c r="AL252" s="662"/>
      <c r="AM252" s="663"/>
    </row>
    <row r="253" spans="1:45" ht="28.5" customHeight="1" x14ac:dyDescent="0.4">
      <c r="D253" s="688" t="s">
        <v>12</v>
      </c>
      <c r="E253" s="604"/>
      <c r="F253" s="604"/>
      <c r="G253" s="604"/>
      <c r="H253" s="604"/>
      <c r="I253" s="605"/>
      <c r="J253" s="603"/>
      <c r="K253" s="604"/>
      <c r="L253" s="604"/>
      <c r="M253" s="604"/>
      <c r="N253" s="604"/>
      <c r="O253" s="604"/>
      <c r="P253" s="604"/>
      <c r="Q253" s="605"/>
      <c r="R253" s="606"/>
      <c r="S253" s="607"/>
      <c r="T253" s="607"/>
      <c r="U253" s="607"/>
      <c r="V253" s="607"/>
      <c r="W253" s="607"/>
      <c r="X253" s="607"/>
      <c r="Y253" s="607"/>
      <c r="Z253" s="608"/>
      <c r="AA253" s="606"/>
      <c r="AB253" s="607"/>
      <c r="AC253" s="608"/>
      <c r="AD253" s="672"/>
      <c r="AE253" s="673"/>
      <c r="AF253" s="673"/>
      <c r="AG253" s="673"/>
      <c r="AH253" s="673"/>
      <c r="AI253" s="673"/>
      <c r="AJ253" s="673"/>
      <c r="AK253" s="673"/>
      <c r="AL253" s="673"/>
      <c r="AM253" s="674"/>
    </row>
    <row r="254" spans="1:45" ht="28.5" customHeight="1" thickBot="1" x14ac:dyDescent="0.45">
      <c r="D254" s="675" t="s">
        <v>12</v>
      </c>
      <c r="E254" s="676"/>
      <c r="F254" s="676"/>
      <c r="G254" s="676"/>
      <c r="H254" s="676"/>
      <c r="I254" s="677"/>
      <c r="J254" s="678"/>
      <c r="K254" s="676"/>
      <c r="L254" s="676"/>
      <c r="M254" s="676"/>
      <c r="N254" s="676"/>
      <c r="O254" s="676"/>
      <c r="P254" s="676"/>
      <c r="Q254" s="677"/>
      <c r="R254" s="679"/>
      <c r="S254" s="680"/>
      <c r="T254" s="680"/>
      <c r="U254" s="680"/>
      <c r="V254" s="680"/>
      <c r="W254" s="680"/>
      <c r="X254" s="680"/>
      <c r="Y254" s="680"/>
      <c r="Z254" s="681"/>
      <c r="AA254" s="682"/>
      <c r="AB254" s="683"/>
      <c r="AC254" s="684"/>
      <c r="AD254" s="685"/>
      <c r="AE254" s="686"/>
      <c r="AF254" s="686"/>
      <c r="AG254" s="686"/>
      <c r="AH254" s="686"/>
      <c r="AI254" s="686"/>
      <c r="AJ254" s="686"/>
      <c r="AK254" s="686"/>
      <c r="AL254" s="686"/>
      <c r="AM254" s="687"/>
    </row>
    <row r="255" spans="1:45" ht="15.75" customHeight="1" x14ac:dyDescent="0.4"/>
    <row r="256" spans="1:45" ht="27.75" customHeight="1" x14ac:dyDescent="0.4">
      <c r="A256" s="115"/>
      <c r="B256" s="599" t="str">
        <f>U12組合せ!$B$1</f>
        <v>ＪＦＡ　Ｕ-１２サッカーリーグ2021（in栃木） 宇都宮地区リーグ戦（前期）</v>
      </c>
      <c r="C256" s="599"/>
      <c r="D256" s="599"/>
      <c r="E256" s="599"/>
      <c r="F256" s="599"/>
      <c r="G256" s="599"/>
      <c r="H256" s="599"/>
      <c r="I256" s="599"/>
      <c r="J256" s="599"/>
      <c r="K256" s="599"/>
      <c r="L256" s="599"/>
      <c r="M256" s="599"/>
      <c r="N256" s="599"/>
      <c r="O256" s="599"/>
      <c r="P256" s="599"/>
      <c r="Q256" s="599"/>
      <c r="R256" s="599"/>
      <c r="S256" s="599"/>
      <c r="T256" s="599"/>
      <c r="U256" s="599"/>
      <c r="V256" s="599"/>
      <c r="W256" s="599"/>
      <c r="X256" s="599"/>
      <c r="Y256" s="599"/>
      <c r="Z256" s="599"/>
      <c r="AA256" s="599"/>
      <c r="AB256" s="599"/>
      <c r="AC256" s="612" t="str">
        <f>"【"&amp;(U12組合せ!$H$3)&amp;"】"</f>
        <v>【Ｃ ブロック】</v>
      </c>
      <c r="AD256" s="612"/>
      <c r="AE256" s="612"/>
      <c r="AF256" s="612"/>
      <c r="AG256" s="612"/>
      <c r="AH256" s="612"/>
      <c r="AI256" s="612"/>
      <c r="AJ256" s="612"/>
      <c r="AK256" s="602" t="str">
        <f>"第"&amp;(U12組合せ!$D$33)</f>
        <v>第３節</v>
      </c>
      <c r="AL256" s="602"/>
      <c r="AM256" s="602"/>
      <c r="AN256" s="602"/>
      <c r="AO256" s="602"/>
      <c r="AP256" s="597" t="s">
        <v>333</v>
      </c>
      <c r="AQ256" s="598"/>
    </row>
    <row r="257" spans="1:45" ht="15" customHeight="1" x14ac:dyDescent="0.4">
      <c r="A257" s="115"/>
      <c r="B257" s="599"/>
      <c r="C257" s="599"/>
      <c r="D257" s="599"/>
      <c r="E257" s="599"/>
      <c r="F257" s="599"/>
      <c r="G257" s="599"/>
      <c r="H257" s="599"/>
      <c r="I257" s="599"/>
      <c r="J257" s="599"/>
      <c r="K257" s="599"/>
      <c r="L257" s="599"/>
      <c r="M257" s="599"/>
      <c r="N257" s="599"/>
      <c r="O257" s="599"/>
      <c r="P257" s="599"/>
      <c r="Q257" s="599"/>
      <c r="R257" s="599"/>
      <c r="S257" s="599"/>
      <c r="T257" s="599"/>
      <c r="U257" s="599"/>
      <c r="V257" s="599"/>
      <c r="W257" s="599"/>
      <c r="X257" s="599"/>
      <c r="Y257" s="599"/>
      <c r="Z257" s="599"/>
      <c r="AA257" s="599"/>
      <c r="AB257" s="599"/>
      <c r="AC257" s="601"/>
      <c r="AD257" s="601"/>
      <c r="AE257" s="601"/>
      <c r="AF257" s="601"/>
      <c r="AG257" s="601"/>
      <c r="AH257" s="601"/>
      <c r="AI257" s="601"/>
      <c r="AJ257" s="601"/>
      <c r="AK257" s="601"/>
      <c r="AL257" s="601"/>
      <c r="AM257" s="601"/>
      <c r="AN257" s="601"/>
      <c r="AO257" s="612"/>
      <c r="AP257" s="598"/>
      <c r="AQ257" s="598"/>
    </row>
    <row r="258" spans="1:45" ht="29.25" customHeight="1" x14ac:dyDescent="0.4">
      <c r="C258" s="635" t="s">
        <v>1</v>
      </c>
      <c r="D258" s="635"/>
      <c r="E258" s="635"/>
      <c r="F258" s="635"/>
      <c r="G258" s="725" t="str">
        <f>U12対戦スケジュール!O71</f>
        <v>豊郷中央小 AM</v>
      </c>
      <c r="H258" s="726"/>
      <c r="I258" s="726"/>
      <c r="J258" s="726"/>
      <c r="K258" s="726"/>
      <c r="L258" s="726"/>
      <c r="M258" s="726"/>
      <c r="N258" s="726"/>
      <c r="O258" s="727"/>
      <c r="P258" s="635" t="s">
        <v>0</v>
      </c>
      <c r="Q258" s="635"/>
      <c r="R258" s="635"/>
      <c r="S258" s="635"/>
      <c r="T258" s="725" t="str">
        <f>S261</f>
        <v>豊郷JFC宇都宮U-12</v>
      </c>
      <c r="U258" s="726"/>
      <c r="V258" s="726"/>
      <c r="W258" s="726"/>
      <c r="X258" s="726"/>
      <c r="Y258" s="726"/>
      <c r="Z258" s="726"/>
      <c r="AA258" s="726"/>
      <c r="AB258" s="727"/>
      <c r="AC258" s="635" t="s">
        <v>2</v>
      </c>
      <c r="AD258" s="635"/>
      <c r="AE258" s="635"/>
      <c r="AF258" s="635"/>
      <c r="AG258" s="618">
        <f>U12組合せ!B$33</f>
        <v>44325</v>
      </c>
      <c r="AH258" s="619"/>
      <c r="AI258" s="619"/>
      <c r="AJ258" s="619"/>
      <c r="AK258" s="619"/>
      <c r="AL258" s="619"/>
      <c r="AM258" s="620" t="str">
        <f>"（"&amp;TEXT(AG258,"aaa")&amp;"）"</f>
        <v>（日）</v>
      </c>
      <c r="AN258" s="620"/>
      <c r="AO258" s="621"/>
      <c r="AP258" s="116"/>
      <c r="AR258" s="96">
        <f>268/2</f>
        <v>134</v>
      </c>
    </row>
    <row r="259" spans="1:45" ht="17.25" customHeight="1" x14ac:dyDescent="0.4">
      <c r="C259" s="96" t="str">
        <f>U12組合せ!I38</f>
        <v>C357</v>
      </c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95"/>
      <c r="X259" s="95"/>
      <c r="Y259" s="95"/>
      <c r="Z259" s="95"/>
      <c r="AA259" s="95"/>
      <c r="AB259" s="95"/>
      <c r="AC259" s="95"/>
      <c r="AR259" s="96">
        <v>73</v>
      </c>
    </row>
    <row r="260" spans="1:45" ht="30.75" customHeight="1" x14ac:dyDescent="0.4">
      <c r="C260" s="637">
        <v>1</v>
      </c>
      <c r="D260" s="637"/>
      <c r="E260" s="584" t="str">
        <f>VLOOKUP(C260,U12組合せ!B$10:K$19,7,TRUE)</f>
        <v>FCアリーバ</v>
      </c>
      <c r="F260" s="584"/>
      <c r="G260" s="584"/>
      <c r="H260" s="584"/>
      <c r="I260" s="584"/>
      <c r="J260" s="584"/>
      <c r="K260" s="584"/>
      <c r="L260" s="584"/>
      <c r="M260" s="584"/>
      <c r="N260" s="584"/>
      <c r="O260" s="94"/>
      <c r="P260" s="94"/>
      <c r="Q260" s="637">
        <v>4</v>
      </c>
      <c r="R260" s="637"/>
      <c r="S260" s="584" t="str">
        <f>VLOOKUP(Q260,U12組合せ!B$10:K$19,7,TRUE)</f>
        <v>ともぞうSC　U11</v>
      </c>
      <c r="T260" s="584"/>
      <c r="U260" s="584"/>
      <c r="V260" s="584"/>
      <c r="W260" s="584"/>
      <c r="X260" s="584"/>
      <c r="Y260" s="584"/>
      <c r="Z260" s="584"/>
      <c r="AA260" s="584"/>
      <c r="AB260" s="584"/>
      <c r="AC260" s="92"/>
      <c r="AD260" s="93"/>
      <c r="AE260" s="636">
        <v>7</v>
      </c>
      <c r="AF260" s="636"/>
      <c r="AG260" s="709" t="str">
        <f>VLOOKUP(AE260,U12組合せ!B$10:'U12組合せ'!K$19,7,TRUE)</f>
        <v>雀宮FC</v>
      </c>
      <c r="AH260" s="709"/>
      <c r="AI260" s="709"/>
      <c r="AJ260" s="709"/>
      <c r="AK260" s="709"/>
      <c r="AL260" s="709"/>
      <c r="AM260" s="709"/>
      <c r="AN260" s="709"/>
      <c r="AO260" s="709"/>
      <c r="AP260" s="709"/>
      <c r="AR260" s="96">
        <f>AR258-AR259</f>
        <v>61</v>
      </c>
    </row>
    <row r="261" spans="1:45" ht="30.75" customHeight="1" x14ac:dyDescent="0.4">
      <c r="C261" s="637">
        <v>2</v>
      </c>
      <c r="D261" s="637"/>
      <c r="E261" s="584" t="str">
        <f>VLOOKUP(C261,U12組合せ!B$10:K$19,7,TRUE)</f>
        <v>カテット白沢SS</v>
      </c>
      <c r="F261" s="584"/>
      <c r="G261" s="584"/>
      <c r="H261" s="584"/>
      <c r="I261" s="584"/>
      <c r="J261" s="584"/>
      <c r="K261" s="584"/>
      <c r="L261" s="584"/>
      <c r="M261" s="584"/>
      <c r="N261" s="584"/>
      <c r="O261" s="94"/>
      <c r="P261" s="94"/>
      <c r="Q261" s="636">
        <v>5</v>
      </c>
      <c r="R261" s="636"/>
      <c r="S261" s="709" t="str">
        <f>VLOOKUP(Q261,U12組合せ!B$10:K$19,7,TRUE)</f>
        <v>豊郷JFC宇都宮U-12</v>
      </c>
      <c r="T261" s="709"/>
      <c r="U261" s="709"/>
      <c r="V261" s="709"/>
      <c r="W261" s="709"/>
      <c r="X261" s="709"/>
      <c r="Y261" s="709"/>
      <c r="Z261" s="709"/>
      <c r="AA261" s="709"/>
      <c r="AB261" s="709"/>
      <c r="AC261" s="92"/>
      <c r="AD261" s="93"/>
      <c r="AE261" s="637">
        <v>8</v>
      </c>
      <c r="AF261" s="637"/>
      <c r="AG261" s="584" t="str">
        <f>VLOOKUP(AE261,U12組合せ!B$10:'U12組合せ'!K$19,7,TRUE)</f>
        <v>FCみらいP</v>
      </c>
      <c r="AH261" s="584"/>
      <c r="AI261" s="584"/>
      <c r="AJ261" s="584"/>
      <c r="AK261" s="584"/>
      <c r="AL261" s="584"/>
      <c r="AM261" s="584"/>
      <c r="AN261" s="584"/>
      <c r="AO261" s="584"/>
      <c r="AP261" s="584"/>
    </row>
    <row r="262" spans="1:45" ht="30.75" customHeight="1" x14ac:dyDescent="0.4">
      <c r="C262" s="636">
        <v>3</v>
      </c>
      <c r="D262" s="636"/>
      <c r="E262" s="709" t="str">
        <f>VLOOKUP(C262,U12組合せ!B$10:K$19,7,TRUE)</f>
        <v>リフレSCチェルビアット</v>
      </c>
      <c r="F262" s="709"/>
      <c r="G262" s="709"/>
      <c r="H262" s="709"/>
      <c r="I262" s="709"/>
      <c r="J262" s="709"/>
      <c r="K262" s="709"/>
      <c r="L262" s="709"/>
      <c r="M262" s="709"/>
      <c r="N262" s="709"/>
      <c r="O262" s="94"/>
      <c r="P262" s="94"/>
      <c r="Q262" s="637">
        <v>6</v>
      </c>
      <c r="R262" s="637"/>
      <c r="S262" s="584" t="str">
        <f>VLOOKUP(Q262,U12組合せ!B$10:K$19,7,TRUE)</f>
        <v>シャルムグランツSC</v>
      </c>
      <c r="T262" s="584"/>
      <c r="U262" s="584"/>
      <c r="V262" s="584"/>
      <c r="W262" s="584"/>
      <c r="X262" s="584"/>
      <c r="Y262" s="584"/>
      <c r="Z262" s="584"/>
      <c r="AA262" s="584"/>
      <c r="AB262" s="584"/>
      <c r="AC262" s="92"/>
      <c r="AD262" s="93"/>
      <c r="AE262" s="637">
        <v>9</v>
      </c>
      <c r="AF262" s="637"/>
      <c r="AG262" s="584" t="str">
        <f>VLOOKUP(AE262,U12組合せ!B$10:'U12組合せ'!K$19,7,TRUE)</f>
        <v>みはらSC jr</v>
      </c>
      <c r="AH262" s="584"/>
      <c r="AI262" s="584"/>
      <c r="AJ262" s="584"/>
      <c r="AK262" s="584"/>
      <c r="AL262" s="584"/>
      <c r="AM262" s="584"/>
      <c r="AN262" s="584"/>
      <c r="AO262" s="584"/>
      <c r="AP262" s="584"/>
    </row>
    <row r="263" spans="1:45" ht="12" customHeight="1" x14ac:dyDescent="0.4">
      <c r="C263" s="121"/>
      <c r="D263" s="121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94"/>
      <c r="P263" s="94"/>
      <c r="Q263" s="123"/>
      <c r="R263" s="123"/>
      <c r="S263" s="124"/>
      <c r="T263" s="124"/>
      <c r="U263" s="124"/>
      <c r="V263" s="124"/>
      <c r="W263" s="124"/>
      <c r="X263" s="124"/>
      <c r="Y263" s="124"/>
      <c r="Z263" s="124"/>
      <c r="AA263" s="124"/>
      <c r="AB263" s="124"/>
      <c r="AC263" s="92"/>
      <c r="AD263" s="93"/>
      <c r="AE263" s="123"/>
      <c r="AF263" s="123"/>
      <c r="AG263" s="124"/>
      <c r="AH263" s="124"/>
      <c r="AI263" s="124"/>
      <c r="AJ263" s="124"/>
      <c r="AK263" s="124"/>
      <c r="AL263" s="124"/>
      <c r="AM263" s="124"/>
      <c r="AN263" s="124"/>
      <c r="AO263" s="124"/>
      <c r="AP263" s="124"/>
    </row>
    <row r="264" spans="1:45" ht="12" customHeight="1" x14ac:dyDescent="0.4">
      <c r="B264" s="102"/>
      <c r="O264" s="102"/>
      <c r="P264" s="102"/>
      <c r="AC264" s="95"/>
      <c r="AD264" s="102"/>
      <c r="AE264" s="102"/>
      <c r="AF264" s="102"/>
      <c r="AG264" s="102"/>
    </row>
    <row r="265" spans="1:45" ht="12" customHeight="1" x14ac:dyDescent="0.4">
      <c r="C265" s="117"/>
      <c r="D265" s="118"/>
      <c r="E265" s="118"/>
      <c r="F265" s="118"/>
      <c r="G265" s="118"/>
      <c r="H265" s="118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18"/>
      <c r="U265" s="102"/>
      <c r="V265" s="118"/>
      <c r="W265" s="102"/>
      <c r="X265" s="118"/>
      <c r="Y265" s="102"/>
      <c r="Z265" s="118"/>
      <c r="AA265" s="102"/>
      <c r="AB265" s="118"/>
      <c r="AC265" s="118"/>
    </row>
    <row r="266" spans="1:45" ht="21.75" customHeight="1" x14ac:dyDescent="0.4">
      <c r="B266" s="118" t="str">
        <f ca="1">IF(B268="①","【監督会議 8：20～】","【監督会議 12：50～】")</f>
        <v>【監督会議 8：20～】</v>
      </c>
      <c r="I266" s="96" t="s">
        <v>330</v>
      </c>
    </row>
    <row r="267" spans="1:45" ht="19.5" customHeight="1" x14ac:dyDescent="0.4">
      <c r="B267" s="97"/>
      <c r="C267" s="711" t="s">
        <v>3</v>
      </c>
      <c r="D267" s="711"/>
      <c r="E267" s="711"/>
      <c r="F267" s="712" t="s">
        <v>4</v>
      </c>
      <c r="G267" s="712"/>
      <c r="H267" s="712"/>
      <c r="I267" s="712"/>
      <c r="J267" s="711" t="s">
        <v>5</v>
      </c>
      <c r="K267" s="713"/>
      <c r="L267" s="713"/>
      <c r="M267" s="713"/>
      <c r="N267" s="713"/>
      <c r="O267" s="713"/>
      <c r="P267" s="713"/>
      <c r="Q267" s="711" t="s">
        <v>32</v>
      </c>
      <c r="R267" s="711"/>
      <c r="S267" s="711"/>
      <c r="T267" s="711"/>
      <c r="U267" s="711"/>
      <c r="V267" s="711"/>
      <c r="W267" s="711"/>
      <c r="X267" s="711" t="s">
        <v>5</v>
      </c>
      <c r="Y267" s="713"/>
      <c r="Z267" s="713"/>
      <c r="AA267" s="713"/>
      <c r="AB267" s="713"/>
      <c r="AC267" s="713"/>
      <c r="AD267" s="713"/>
      <c r="AE267" s="712" t="s">
        <v>4</v>
      </c>
      <c r="AF267" s="712"/>
      <c r="AG267" s="712"/>
      <c r="AH267" s="712"/>
      <c r="AI267" s="711" t="s">
        <v>6</v>
      </c>
      <c r="AJ267" s="711"/>
      <c r="AK267" s="713"/>
      <c r="AL267" s="713"/>
      <c r="AM267" s="713"/>
      <c r="AN267" s="713"/>
      <c r="AO267" s="713"/>
      <c r="AP267" s="713"/>
    </row>
    <row r="268" spans="1:45" ht="19.5" customHeight="1" x14ac:dyDescent="0.4">
      <c r="B268" s="644" t="str">
        <f ca="1">DBCS(INDIRECT("U12対戦スケジュール!m"&amp;(ROW())/2-AR$260))</f>
        <v>①</v>
      </c>
      <c r="C268" s="645">
        <f ca="1">INDIRECT("U12対戦スケジュール!n"&amp;(ROW())/2-AR$260)</f>
        <v>0.375</v>
      </c>
      <c r="D268" s="646"/>
      <c r="E268" s="647"/>
      <c r="F268" s="583"/>
      <c r="G268" s="583"/>
      <c r="H268" s="583"/>
      <c r="I268" s="583"/>
      <c r="J268" s="746" t="str">
        <f ca="1">VLOOKUP(AR268,U12組合せ!B$10:K$19,7,TRUE)</f>
        <v>リフレSCチェルビアット</v>
      </c>
      <c r="K268" s="747"/>
      <c r="L268" s="747"/>
      <c r="M268" s="747"/>
      <c r="N268" s="747"/>
      <c r="O268" s="747"/>
      <c r="P268" s="747"/>
      <c r="Q268" s="628">
        <f>IF(OR(S268="",S269=""),"",S268+S269)</f>
        <v>5</v>
      </c>
      <c r="R268" s="630"/>
      <c r="S268" s="100">
        <v>1</v>
      </c>
      <c r="T268" s="101" t="s">
        <v>617</v>
      </c>
      <c r="U268" s="100">
        <v>1</v>
      </c>
      <c r="V268" s="628">
        <f>IF(OR(U268="",U269=""),"",U268+U269)</f>
        <v>1</v>
      </c>
      <c r="W268" s="630"/>
      <c r="X268" s="746" t="str">
        <f ca="1">VLOOKUP(AS268,U12組合せ!B$10:K$19,7,TRUE)</f>
        <v>豊郷JFC宇都宮U-12</v>
      </c>
      <c r="Y268" s="747"/>
      <c r="Z268" s="747"/>
      <c r="AA268" s="747"/>
      <c r="AB268" s="747"/>
      <c r="AC268" s="747"/>
      <c r="AD268" s="747"/>
      <c r="AE268" s="583"/>
      <c r="AF268" s="583"/>
      <c r="AG268" s="583"/>
      <c r="AH268" s="583"/>
      <c r="AI268" s="758" t="str">
        <f ca="1">DBCS(INDIRECT("U12対戦スケジュール!r"&amp;(ROW())/2-AR$260))</f>
        <v>７／３／５／７</v>
      </c>
      <c r="AJ268" s="759"/>
      <c r="AK268" s="759"/>
      <c r="AL268" s="759"/>
      <c r="AM268" s="759"/>
      <c r="AN268" s="759"/>
      <c r="AO268" s="759"/>
      <c r="AP268" s="760"/>
      <c r="AR268" s="119">
        <f ca="1">INDIRECT("U12対戦スケジュール!o"&amp;(ROW())/2-AR$260)</f>
        <v>3</v>
      </c>
      <c r="AS268" s="119">
        <f ca="1">INDIRECT("U12対戦スケジュール!q"&amp;(ROW())/2-AR$260)</f>
        <v>5</v>
      </c>
    </row>
    <row r="269" spans="1:45" ht="19.5" customHeight="1" x14ac:dyDescent="0.4">
      <c r="B269" s="644"/>
      <c r="C269" s="648"/>
      <c r="D269" s="649"/>
      <c r="E269" s="650"/>
      <c r="F269" s="583"/>
      <c r="G269" s="583"/>
      <c r="H269" s="583"/>
      <c r="I269" s="583"/>
      <c r="J269" s="747"/>
      <c r="K269" s="747"/>
      <c r="L269" s="747"/>
      <c r="M269" s="747"/>
      <c r="N269" s="747"/>
      <c r="O269" s="747"/>
      <c r="P269" s="747"/>
      <c r="Q269" s="631"/>
      <c r="R269" s="633"/>
      <c r="S269" s="100">
        <v>4</v>
      </c>
      <c r="T269" s="101" t="s">
        <v>617</v>
      </c>
      <c r="U269" s="100">
        <v>0</v>
      </c>
      <c r="V269" s="631"/>
      <c r="W269" s="633"/>
      <c r="X269" s="747"/>
      <c r="Y269" s="747"/>
      <c r="Z269" s="747"/>
      <c r="AA269" s="747"/>
      <c r="AB269" s="747"/>
      <c r="AC269" s="747"/>
      <c r="AD269" s="747"/>
      <c r="AE269" s="583"/>
      <c r="AF269" s="583"/>
      <c r="AG269" s="583"/>
      <c r="AH269" s="583"/>
      <c r="AI269" s="761"/>
      <c r="AJ269" s="762"/>
      <c r="AK269" s="762"/>
      <c r="AL269" s="762"/>
      <c r="AM269" s="762"/>
      <c r="AN269" s="762"/>
      <c r="AO269" s="762"/>
      <c r="AP269" s="763"/>
      <c r="AR269" s="119"/>
      <c r="AS269" s="119"/>
    </row>
    <row r="270" spans="1:45" ht="19.5" customHeight="1" x14ac:dyDescent="0.4">
      <c r="B270" s="644" t="str">
        <f t="shared" ref="B270" ca="1" si="14">DBCS(INDIRECT("U12対戦スケジュール!m"&amp;(ROW())/2-AR$260))</f>
        <v>②</v>
      </c>
      <c r="C270" s="645">
        <f t="shared" ref="C270" ca="1" si="15">INDIRECT("U12対戦スケジュール!n"&amp;(ROW())/2-AR$260)</f>
        <v>0.41699999999999998</v>
      </c>
      <c r="D270" s="646"/>
      <c r="E270" s="647"/>
      <c r="F270" s="583"/>
      <c r="G270" s="583"/>
      <c r="H270" s="583"/>
      <c r="I270" s="583"/>
      <c r="J270" s="746" t="str">
        <f ca="1">VLOOKUP(AR270,U12組合せ!B$10:K$19,7,TRUE)</f>
        <v>雀宮FC</v>
      </c>
      <c r="K270" s="747"/>
      <c r="L270" s="747"/>
      <c r="M270" s="747"/>
      <c r="N270" s="747"/>
      <c r="O270" s="747"/>
      <c r="P270" s="747"/>
      <c r="Q270" s="634">
        <f>IF(OR(S270="",S271=""),"",S270+S271)</f>
        <v>3</v>
      </c>
      <c r="R270" s="634"/>
      <c r="S270" s="100">
        <v>1</v>
      </c>
      <c r="T270" s="101" t="s">
        <v>617</v>
      </c>
      <c r="U270" s="100">
        <v>3</v>
      </c>
      <c r="V270" s="634">
        <f>IF(OR(U270="",U271=""),"",U270+U271)</f>
        <v>4</v>
      </c>
      <c r="W270" s="634"/>
      <c r="X270" s="746" t="str">
        <f ca="1">VLOOKUP(AS270,U12組合せ!B$10:K$19,7,TRUE)</f>
        <v>豊郷JFC宇都宮U-12</v>
      </c>
      <c r="Y270" s="747"/>
      <c r="Z270" s="747"/>
      <c r="AA270" s="747"/>
      <c r="AB270" s="747"/>
      <c r="AC270" s="747"/>
      <c r="AD270" s="747"/>
      <c r="AE270" s="583"/>
      <c r="AF270" s="583"/>
      <c r="AG270" s="583"/>
      <c r="AH270" s="583"/>
      <c r="AI270" s="758" t="str">
        <f ca="1">DBCS(INDIRECT("U12対戦スケジュール!r"&amp;(ROW())/2-AR$260))</f>
        <v>３／５／７／３</v>
      </c>
      <c r="AJ270" s="759"/>
      <c r="AK270" s="759"/>
      <c r="AL270" s="759"/>
      <c r="AM270" s="759"/>
      <c r="AN270" s="759"/>
      <c r="AO270" s="759"/>
      <c r="AP270" s="760"/>
      <c r="AR270" s="119">
        <f ca="1">INDIRECT("U12対戦スケジュール!o"&amp;(ROW())/2-AR$260)</f>
        <v>7</v>
      </c>
      <c r="AS270" s="119">
        <f ca="1">INDIRECT("U12対戦スケジュール!q"&amp;(ROW())/2-AR$260)</f>
        <v>5</v>
      </c>
    </row>
    <row r="271" spans="1:45" ht="19.5" customHeight="1" x14ac:dyDescent="0.4">
      <c r="B271" s="644"/>
      <c r="C271" s="648"/>
      <c r="D271" s="649"/>
      <c r="E271" s="650"/>
      <c r="F271" s="583"/>
      <c r="G271" s="583"/>
      <c r="H271" s="583"/>
      <c r="I271" s="583"/>
      <c r="J271" s="747"/>
      <c r="K271" s="747"/>
      <c r="L271" s="747"/>
      <c r="M271" s="747"/>
      <c r="N271" s="747"/>
      <c r="O271" s="747"/>
      <c r="P271" s="747"/>
      <c r="Q271" s="634"/>
      <c r="R271" s="634"/>
      <c r="S271" s="100">
        <v>2</v>
      </c>
      <c r="T271" s="101" t="s">
        <v>617</v>
      </c>
      <c r="U271" s="100">
        <v>1</v>
      </c>
      <c r="V271" s="634"/>
      <c r="W271" s="634"/>
      <c r="X271" s="747"/>
      <c r="Y271" s="747"/>
      <c r="Z271" s="747"/>
      <c r="AA271" s="747"/>
      <c r="AB271" s="747"/>
      <c r="AC271" s="747"/>
      <c r="AD271" s="747"/>
      <c r="AE271" s="583"/>
      <c r="AF271" s="583"/>
      <c r="AG271" s="583"/>
      <c r="AH271" s="583"/>
      <c r="AI271" s="761"/>
      <c r="AJ271" s="762"/>
      <c r="AK271" s="762"/>
      <c r="AL271" s="762"/>
      <c r="AM271" s="762"/>
      <c r="AN271" s="762"/>
      <c r="AO271" s="762"/>
      <c r="AP271" s="763"/>
      <c r="AR271" s="119"/>
      <c r="AS271" s="119"/>
    </row>
    <row r="272" spans="1:45" ht="19.5" customHeight="1" x14ac:dyDescent="0.4">
      <c r="B272" s="644" t="str">
        <f t="shared" ref="B272" ca="1" si="16">DBCS(INDIRECT("U12対戦スケジュール!m"&amp;(ROW())/2-AR$260))</f>
        <v>③</v>
      </c>
      <c r="C272" s="645">
        <f t="shared" ref="C272" ca="1" si="17">INDIRECT("U12対戦スケジュール!n"&amp;(ROW())/2-AR$260)</f>
        <v>0.45899999999999996</v>
      </c>
      <c r="D272" s="646"/>
      <c r="E272" s="647"/>
      <c r="F272" s="583"/>
      <c r="G272" s="583"/>
      <c r="H272" s="583"/>
      <c r="I272" s="583"/>
      <c r="J272" s="746" t="str">
        <f ca="1">VLOOKUP(AR272,U12組合せ!B$10:K$19,7,TRUE)</f>
        <v>雀宮FC</v>
      </c>
      <c r="K272" s="747"/>
      <c r="L272" s="747"/>
      <c r="M272" s="747"/>
      <c r="N272" s="747"/>
      <c r="O272" s="747"/>
      <c r="P272" s="747"/>
      <c r="Q272" s="634">
        <f>IF(OR(S272="",S273=""),"",S272+S273)</f>
        <v>1</v>
      </c>
      <c r="R272" s="634"/>
      <c r="S272" s="100">
        <v>1</v>
      </c>
      <c r="T272" s="101" t="s">
        <v>617</v>
      </c>
      <c r="U272" s="100">
        <v>0</v>
      </c>
      <c r="V272" s="634">
        <f>IF(OR(U272="",U273=""),"",U272+U273)</f>
        <v>3</v>
      </c>
      <c r="W272" s="634"/>
      <c r="X272" s="746" t="str">
        <f ca="1">VLOOKUP(AS272,U12組合せ!B$10:K$19,7,TRUE)</f>
        <v>リフレSCチェルビアット</v>
      </c>
      <c r="Y272" s="747"/>
      <c r="Z272" s="747"/>
      <c r="AA272" s="747"/>
      <c r="AB272" s="747"/>
      <c r="AC272" s="747"/>
      <c r="AD272" s="747"/>
      <c r="AE272" s="583"/>
      <c r="AF272" s="583"/>
      <c r="AG272" s="583"/>
      <c r="AH272" s="583"/>
      <c r="AI272" s="758" t="str">
        <f ca="1">DBCS(INDIRECT("U12対戦スケジュール!r"&amp;(ROW())/2-AR$260))</f>
        <v>５／７／３／５</v>
      </c>
      <c r="AJ272" s="759"/>
      <c r="AK272" s="759"/>
      <c r="AL272" s="759"/>
      <c r="AM272" s="759"/>
      <c r="AN272" s="759"/>
      <c r="AO272" s="759"/>
      <c r="AP272" s="760"/>
      <c r="AR272" s="119">
        <f ca="1">INDIRECT("U12対戦スケジュール!o"&amp;(ROW())/2-AR$260)</f>
        <v>7</v>
      </c>
      <c r="AS272" s="119">
        <f ca="1">INDIRECT("U12対戦スケジュール!q"&amp;(ROW())/2-AR$260)</f>
        <v>3</v>
      </c>
    </row>
    <row r="273" spans="1:45" ht="19.5" customHeight="1" x14ac:dyDescent="0.4">
      <c r="B273" s="644"/>
      <c r="C273" s="648"/>
      <c r="D273" s="649"/>
      <c r="E273" s="650"/>
      <c r="F273" s="583"/>
      <c r="G273" s="583"/>
      <c r="H273" s="583"/>
      <c r="I273" s="583"/>
      <c r="J273" s="747"/>
      <c r="K273" s="747"/>
      <c r="L273" s="747"/>
      <c r="M273" s="747"/>
      <c r="N273" s="747"/>
      <c r="O273" s="747"/>
      <c r="P273" s="747"/>
      <c r="Q273" s="634"/>
      <c r="R273" s="634"/>
      <c r="S273" s="100">
        <v>0</v>
      </c>
      <c r="T273" s="101" t="s">
        <v>617</v>
      </c>
      <c r="U273" s="100">
        <v>3</v>
      </c>
      <c r="V273" s="634"/>
      <c r="W273" s="634"/>
      <c r="X273" s="747"/>
      <c r="Y273" s="747"/>
      <c r="Z273" s="747"/>
      <c r="AA273" s="747"/>
      <c r="AB273" s="747"/>
      <c r="AC273" s="747"/>
      <c r="AD273" s="747"/>
      <c r="AE273" s="583"/>
      <c r="AF273" s="583"/>
      <c r="AG273" s="583"/>
      <c r="AH273" s="583"/>
      <c r="AI273" s="761"/>
      <c r="AJ273" s="762"/>
      <c r="AK273" s="762"/>
      <c r="AL273" s="762"/>
      <c r="AM273" s="762"/>
      <c r="AN273" s="762"/>
      <c r="AO273" s="762"/>
      <c r="AP273" s="763"/>
      <c r="AR273" s="119"/>
      <c r="AS273" s="119"/>
    </row>
    <row r="274" spans="1:45" ht="19.5" customHeight="1" x14ac:dyDescent="0.4">
      <c r="B274" s="586"/>
      <c r="C274" s="739"/>
      <c r="D274" s="740"/>
      <c r="E274" s="741"/>
      <c r="F274" s="704"/>
      <c r="G274" s="704"/>
      <c r="H274" s="704"/>
      <c r="I274" s="704"/>
      <c r="J274" s="701"/>
      <c r="K274" s="702"/>
      <c r="L274" s="702"/>
      <c r="M274" s="702"/>
      <c r="N274" s="702"/>
      <c r="O274" s="702"/>
      <c r="P274" s="702"/>
      <c r="Q274" s="705"/>
      <c r="R274" s="705"/>
      <c r="S274" s="109"/>
      <c r="T274" s="110"/>
      <c r="U274" s="109"/>
      <c r="V274" s="705"/>
      <c r="W274" s="705"/>
      <c r="X274" s="701"/>
      <c r="Y274" s="702"/>
      <c r="Z274" s="702"/>
      <c r="AA274" s="702"/>
      <c r="AB274" s="702"/>
      <c r="AC274" s="702"/>
      <c r="AD274" s="702"/>
      <c r="AE274" s="704"/>
      <c r="AF274" s="704"/>
      <c r="AG274" s="704"/>
      <c r="AH274" s="704"/>
      <c r="AI274" s="706"/>
      <c r="AJ274" s="707"/>
      <c r="AK274" s="707"/>
      <c r="AL274" s="707"/>
      <c r="AM274" s="707"/>
      <c r="AN274" s="707"/>
      <c r="AO274" s="707"/>
      <c r="AP274" s="707"/>
      <c r="AR274" s="119"/>
      <c r="AS274" s="119"/>
    </row>
    <row r="275" spans="1:45" ht="19.5" customHeight="1" x14ac:dyDescent="0.4">
      <c r="B275" s="644"/>
      <c r="C275" s="648"/>
      <c r="D275" s="649"/>
      <c r="E275" s="650"/>
      <c r="F275" s="583"/>
      <c r="G275" s="583"/>
      <c r="H275" s="583"/>
      <c r="I275" s="583"/>
      <c r="J275" s="703"/>
      <c r="K275" s="703"/>
      <c r="L275" s="703"/>
      <c r="M275" s="703"/>
      <c r="N275" s="703"/>
      <c r="O275" s="703"/>
      <c r="P275" s="703"/>
      <c r="Q275" s="634"/>
      <c r="R275" s="634"/>
      <c r="S275" s="100"/>
      <c r="T275" s="101"/>
      <c r="U275" s="100"/>
      <c r="V275" s="634"/>
      <c r="W275" s="634"/>
      <c r="X275" s="703"/>
      <c r="Y275" s="703"/>
      <c r="Z275" s="703"/>
      <c r="AA275" s="703"/>
      <c r="AB275" s="703"/>
      <c r="AC275" s="703"/>
      <c r="AD275" s="703"/>
      <c r="AE275" s="583"/>
      <c r="AF275" s="583"/>
      <c r="AG275" s="583"/>
      <c r="AH275" s="583"/>
      <c r="AI275" s="708"/>
      <c r="AJ275" s="708"/>
      <c r="AK275" s="708"/>
      <c r="AL275" s="708"/>
      <c r="AM275" s="708"/>
      <c r="AN275" s="708"/>
      <c r="AO275" s="708"/>
      <c r="AP275" s="708"/>
      <c r="AR275" s="119"/>
      <c r="AS275" s="119"/>
    </row>
    <row r="276" spans="1:45" ht="19.5" customHeight="1" x14ac:dyDescent="0.4">
      <c r="B276" s="585"/>
      <c r="C276" s="587"/>
      <c r="D276" s="588"/>
      <c r="E276" s="589"/>
      <c r="F276" s="622"/>
      <c r="G276" s="623"/>
      <c r="H276" s="623"/>
      <c r="I276" s="624"/>
      <c r="J276" s="689"/>
      <c r="K276" s="690"/>
      <c r="L276" s="690"/>
      <c r="M276" s="690"/>
      <c r="N276" s="690"/>
      <c r="O276" s="690"/>
      <c r="P276" s="691"/>
      <c r="Q276" s="628"/>
      <c r="R276" s="630"/>
      <c r="S276" s="100"/>
      <c r="T276" s="101"/>
      <c r="U276" s="100"/>
      <c r="V276" s="628"/>
      <c r="W276" s="630"/>
      <c r="X276" s="695"/>
      <c r="Y276" s="696"/>
      <c r="Z276" s="696"/>
      <c r="AA276" s="696"/>
      <c r="AB276" s="696"/>
      <c r="AC276" s="696"/>
      <c r="AD276" s="697"/>
      <c r="AE276" s="622"/>
      <c r="AF276" s="623"/>
      <c r="AG276" s="623"/>
      <c r="AH276" s="624"/>
      <c r="AI276" s="628"/>
      <c r="AJ276" s="629"/>
      <c r="AK276" s="629"/>
      <c r="AL276" s="629"/>
      <c r="AM276" s="629"/>
      <c r="AN276" s="629"/>
      <c r="AO276" s="629"/>
      <c r="AP276" s="630"/>
    </row>
    <row r="277" spans="1:45" ht="19.5" customHeight="1" x14ac:dyDescent="0.4">
      <c r="B277" s="586"/>
      <c r="C277" s="590"/>
      <c r="D277" s="591"/>
      <c r="E277" s="592"/>
      <c r="F277" s="625"/>
      <c r="G277" s="626"/>
      <c r="H277" s="626"/>
      <c r="I277" s="627"/>
      <c r="J277" s="692"/>
      <c r="K277" s="693"/>
      <c r="L277" s="693"/>
      <c r="M277" s="693"/>
      <c r="N277" s="693"/>
      <c r="O277" s="693"/>
      <c r="P277" s="694"/>
      <c r="Q277" s="631"/>
      <c r="R277" s="633"/>
      <c r="S277" s="100"/>
      <c r="T277" s="101"/>
      <c r="U277" s="100"/>
      <c r="V277" s="631"/>
      <c r="W277" s="633"/>
      <c r="X277" s="698"/>
      <c r="Y277" s="699"/>
      <c r="Z277" s="699"/>
      <c r="AA277" s="699"/>
      <c r="AB277" s="699"/>
      <c r="AC277" s="699"/>
      <c r="AD277" s="700"/>
      <c r="AE277" s="625"/>
      <c r="AF277" s="626"/>
      <c r="AG277" s="626"/>
      <c r="AH277" s="627"/>
      <c r="AI277" s="631"/>
      <c r="AJ277" s="632"/>
      <c r="AK277" s="632"/>
      <c r="AL277" s="632"/>
      <c r="AM277" s="632"/>
      <c r="AN277" s="632"/>
      <c r="AO277" s="632"/>
      <c r="AP277" s="633"/>
    </row>
    <row r="278" spans="1:45" ht="19.5" customHeight="1" x14ac:dyDescent="0.4">
      <c r="B278" s="585"/>
      <c r="C278" s="587"/>
      <c r="D278" s="588"/>
      <c r="E278" s="589"/>
      <c r="F278" s="622"/>
      <c r="G278" s="623"/>
      <c r="H278" s="623"/>
      <c r="I278" s="624"/>
      <c r="J278" s="689"/>
      <c r="K278" s="690"/>
      <c r="L278" s="690"/>
      <c r="M278" s="690"/>
      <c r="N278" s="690"/>
      <c r="O278" s="690"/>
      <c r="P278" s="691"/>
      <c r="Q278" s="628"/>
      <c r="R278" s="630"/>
      <c r="S278" s="100"/>
      <c r="T278" s="101"/>
      <c r="U278" s="100"/>
      <c r="V278" s="628"/>
      <c r="W278" s="630"/>
      <c r="X278" s="695"/>
      <c r="Y278" s="696"/>
      <c r="Z278" s="696"/>
      <c r="AA278" s="696"/>
      <c r="AB278" s="696"/>
      <c r="AC278" s="696"/>
      <c r="AD278" s="697"/>
      <c r="AE278" s="622"/>
      <c r="AF278" s="623"/>
      <c r="AG278" s="623"/>
      <c r="AH278" s="624"/>
      <c r="AI278" s="628"/>
      <c r="AJ278" s="629"/>
      <c r="AK278" s="629"/>
      <c r="AL278" s="629"/>
      <c r="AM278" s="629"/>
      <c r="AN278" s="629"/>
      <c r="AO278" s="629"/>
      <c r="AP278" s="630"/>
    </row>
    <row r="279" spans="1:45" ht="19.5" customHeight="1" x14ac:dyDescent="0.4">
      <c r="B279" s="586"/>
      <c r="C279" s="590"/>
      <c r="D279" s="591"/>
      <c r="E279" s="592"/>
      <c r="F279" s="625"/>
      <c r="G279" s="626"/>
      <c r="H279" s="626"/>
      <c r="I279" s="627"/>
      <c r="J279" s="692"/>
      <c r="K279" s="693"/>
      <c r="L279" s="693"/>
      <c r="M279" s="693"/>
      <c r="N279" s="693"/>
      <c r="O279" s="693"/>
      <c r="P279" s="694"/>
      <c r="Q279" s="631"/>
      <c r="R279" s="633"/>
      <c r="S279" s="100"/>
      <c r="T279" s="101"/>
      <c r="U279" s="100"/>
      <c r="V279" s="631"/>
      <c r="W279" s="633"/>
      <c r="X279" s="698"/>
      <c r="Y279" s="699"/>
      <c r="Z279" s="699"/>
      <c r="AA279" s="699"/>
      <c r="AB279" s="699"/>
      <c r="AC279" s="699"/>
      <c r="AD279" s="700"/>
      <c r="AE279" s="625"/>
      <c r="AF279" s="626"/>
      <c r="AG279" s="626"/>
      <c r="AH279" s="627"/>
      <c r="AI279" s="631"/>
      <c r="AJ279" s="632"/>
      <c r="AK279" s="632"/>
      <c r="AL279" s="632"/>
      <c r="AM279" s="632"/>
      <c r="AN279" s="632"/>
      <c r="AO279" s="632"/>
      <c r="AP279" s="633"/>
    </row>
    <row r="280" spans="1:45" ht="16.5" x14ac:dyDescent="0.4">
      <c r="B280" s="585"/>
      <c r="C280" s="587"/>
      <c r="D280" s="588"/>
      <c r="E280" s="589"/>
      <c r="F280" s="622"/>
      <c r="G280" s="623"/>
      <c r="H280" s="623"/>
      <c r="I280" s="624"/>
      <c r="J280" s="689"/>
      <c r="K280" s="690"/>
      <c r="L280" s="690"/>
      <c r="M280" s="690"/>
      <c r="N280" s="690"/>
      <c r="O280" s="690"/>
      <c r="P280" s="691"/>
      <c r="Q280" s="628"/>
      <c r="R280" s="630"/>
      <c r="S280" s="100"/>
      <c r="T280" s="101"/>
      <c r="U280" s="100"/>
      <c r="V280" s="628"/>
      <c r="W280" s="630"/>
      <c r="X280" s="695"/>
      <c r="Y280" s="696"/>
      <c r="Z280" s="696"/>
      <c r="AA280" s="696"/>
      <c r="AB280" s="696"/>
      <c r="AC280" s="696"/>
      <c r="AD280" s="697"/>
      <c r="AE280" s="622"/>
      <c r="AF280" s="623"/>
      <c r="AG280" s="623"/>
      <c r="AH280" s="624"/>
      <c r="AI280" s="628"/>
      <c r="AJ280" s="629"/>
      <c r="AK280" s="629"/>
      <c r="AL280" s="629"/>
      <c r="AM280" s="629"/>
      <c r="AN280" s="629"/>
      <c r="AO280" s="629"/>
      <c r="AP280" s="630"/>
    </row>
    <row r="281" spans="1:45" ht="16.5" x14ac:dyDescent="0.4">
      <c r="B281" s="586"/>
      <c r="C281" s="590"/>
      <c r="D281" s="591"/>
      <c r="E281" s="592"/>
      <c r="F281" s="625"/>
      <c r="G281" s="626"/>
      <c r="H281" s="626"/>
      <c r="I281" s="627"/>
      <c r="J281" s="692"/>
      <c r="K281" s="693"/>
      <c r="L281" s="693"/>
      <c r="M281" s="693"/>
      <c r="N281" s="693"/>
      <c r="O281" s="693"/>
      <c r="P281" s="694"/>
      <c r="Q281" s="631"/>
      <c r="R281" s="633"/>
      <c r="S281" s="100"/>
      <c r="T281" s="101"/>
      <c r="U281" s="100"/>
      <c r="V281" s="631"/>
      <c r="W281" s="633"/>
      <c r="X281" s="698"/>
      <c r="Y281" s="699"/>
      <c r="Z281" s="699"/>
      <c r="AA281" s="699"/>
      <c r="AB281" s="699"/>
      <c r="AC281" s="699"/>
      <c r="AD281" s="700"/>
      <c r="AE281" s="625"/>
      <c r="AF281" s="626"/>
      <c r="AG281" s="626"/>
      <c r="AH281" s="627"/>
      <c r="AI281" s="631"/>
      <c r="AJ281" s="632"/>
      <c r="AK281" s="632"/>
      <c r="AL281" s="632"/>
      <c r="AM281" s="632"/>
      <c r="AN281" s="632"/>
      <c r="AO281" s="632"/>
      <c r="AP281" s="633"/>
    </row>
    <row r="282" spans="1:45" ht="20.25" thickBot="1" x14ac:dyDescent="0.45">
      <c r="A282" s="102"/>
      <c r="B282" s="103"/>
      <c r="C282" s="104"/>
      <c r="D282" s="104"/>
      <c r="E282" s="104"/>
      <c r="F282" s="103"/>
      <c r="G282" s="103"/>
      <c r="H282" s="103"/>
      <c r="I282" s="103"/>
      <c r="J282" s="103"/>
      <c r="K282" s="105"/>
      <c r="L282" s="105"/>
      <c r="M282" s="106"/>
      <c r="N282" s="107"/>
      <c r="O282" s="106"/>
      <c r="P282" s="105"/>
      <c r="Q282" s="105"/>
      <c r="R282" s="103"/>
      <c r="S282" s="103"/>
      <c r="T282" s="103"/>
      <c r="U282" s="103"/>
      <c r="V282" s="103"/>
      <c r="W282" s="108"/>
      <c r="X282" s="108"/>
      <c r="Y282" s="108"/>
      <c r="Z282" s="108"/>
      <c r="AA282" s="108"/>
      <c r="AB282" s="108"/>
      <c r="AC282" s="102"/>
    </row>
    <row r="283" spans="1:45" ht="20.25" thickBot="1" x14ac:dyDescent="0.45">
      <c r="D283" s="664" t="s">
        <v>8</v>
      </c>
      <c r="E283" s="665"/>
      <c r="F283" s="665"/>
      <c r="G283" s="665"/>
      <c r="H283" s="665"/>
      <c r="I283" s="666"/>
      <c r="J283" s="667" t="s">
        <v>5</v>
      </c>
      <c r="K283" s="665"/>
      <c r="L283" s="665"/>
      <c r="M283" s="665"/>
      <c r="N283" s="665"/>
      <c r="O283" s="665"/>
      <c r="P283" s="665"/>
      <c r="Q283" s="666"/>
      <c r="R283" s="668" t="s">
        <v>9</v>
      </c>
      <c r="S283" s="669"/>
      <c r="T283" s="669"/>
      <c r="U283" s="669"/>
      <c r="V283" s="669"/>
      <c r="W283" s="669"/>
      <c r="X283" s="669"/>
      <c r="Y283" s="669"/>
      <c r="Z283" s="670"/>
      <c r="AA283" s="609" t="s">
        <v>10</v>
      </c>
      <c r="AB283" s="610"/>
      <c r="AC283" s="671"/>
      <c r="AD283" s="609" t="s">
        <v>11</v>
      </c>
      <c r="AE283" s="610"/>
      <c r="AF283" s="610"/>
      <c r="AG283" s="610"/>
      <c r="AH283" s="610"/>
      <c r="AI283" s="610"/>
      <c r="AJ283" s="610"/>
      <c r="AK283" s="610"/>
      <c r="AL283" s="610"/>
      <c r="AM283" s="611"/>
    </row>
    <row r="284" spans="1:45" ht="28.5" customHeight="1" x14ac:dyDescent="0.4">
      <c r="D284" s="651" t="s">
        <v>298</v>
      </c>
      <c r="E284" s="652"/>
      <c r="F284" s="652"/>
      <c r="G284" s="652"/>
      <c r="H284" s="652"/>
      <c r="I284" s="653"/>
      <c r="J284" s="654"/>
      <c r="K284" s="652"/>
      <c r="L284" s="652"/>
      <c r="M284" s="652"/>
      <c r="N284" s="652"/>
      <c r="O284" s="652"/>
      <c r="P284" s="652"/>
      <c r="Q284" s="653"/>
      <c r="R284" s="655"/>
      <c r="S284" s="656"/>
      <c r="T284" s="656"/>
      <c r="U284" s="656"/>
      <c r="V284" s="656"/>
      <c r="W284" s="656"/>
      <c r="X284" s="656"/>
      <c r="Y284" s="656"/>
      <c r="Z284" s="657"/>
      <c r="AA284" s="658"/>
      <c r="AB284" s="659"/>
      <c r="AC284" s="660"/>
      <c r="AD284" s="661"/>
      <c r="AE284" s="662"/>
      <c r="AF284" s="662"/>
      <c r="AG284" s="662"/>
      <c r="AH284" s="662"/>
      <c r="AI284" s="662"/>
      <c r="AJ284" s="662"/>
      <c r="AK284" s="662"/>
      <c r="AL284" s="662"/>
      <c r="AM284" s="663"/>
    </row>
    <row r="285" spans="1:45" ht="28.5" customHeight="1" x14ac:dyDescent="0.4">
      <c r="D285" s="688" t="s">
        <v>12</v>
      </c>
      <c r="E285" s="604"/>
      <c r="F285" s="604"/>
      <c r="G285" s="604"/>
      <c r="H285" s="604"/>
      <c r="I285" s="605"/>
      <c r="J285" s="603"/>
      <c r="K285" s="604"/>
      <c r="L285" s="604"/>
      <c r="M285" s="604"/>
      <c r="N285" s="604"/>
      <c r="O285" s="604"/>
      <c r="P285" s="604"/>
      <c r="Q285" s="605"/>
      <c r="R285" s="606"/>
      <c r="S285" s="607"/>
      <c r="T285" s="607"/>
      <c r="U285" s="607"/>
      <c r="V285" s="607"/>
      <c r="W285" s="607"/>
      <c r="X285" s="607"/>
      <c r="Y285" s="607"/>
      <c r="Z285" s="608"/>
      <c r="AA285" s="606"/>
      <c r="AB285" s="607"/>
      <c r="AC285" s="608"/>
      <c r="AD285" s="672"/>
      <c r="AE285" s="673"/>
      <c r="AF285" s="673"/>
      <c r="AG285" s="673"/>
      <c r="AH285" s="673"/>
      <c r="AI285" s="673"/>
      <c r="AJ285" s="673"/>
      <c r="AK285" s="673"/>
      <c r="AL285" s="673"/>
      <c r="AM285" s="674"/>
    </row>
    <row r="286" spans="1:45" ht="28.5" customHeight="1" thickBot="1" x14ac:dyDescent="0.45">
      <c r="D286" s="675" t="s">
        <v>12</v>
      </c>
      <c r="E286" s="676"/>
      <c r="F286" s="676"/>
      <c r="G286" s="676"/>
      <c r="H286" s="676"/>
      <c r="I286" s="677"/>
      <c r="J286" s="678"/>
      <c r="K286" s="676"/>
      <c r="L286" s="676"/>
      <c r="M286" s="676"/>
      <c r="N286" s="676"/>
      <c r="O286" s="676"/>
      <c r="P286" s="676"/>
      <c r="Q286" s="677"/>
      <c r="R286" s="679"/>
      <c r="S286" s="680"/>
      <c r="T286" s="680"/>
      <c r="U286" s="680"/>
      <c r="V286" s="680"/>
      <c r="W286" s="680"/>
      <c r="X286" s="680"/>
      <c r="Y286" s="680"/>
      <c r="Z286" s="681"/>
      <c r="AA286" s="682"/>
      <c r="AB286" s="683"/>
      <c r="AC286" s="684"/>
      <c r="AD286" s="685"/>
      <c r="AE286" s="686"/>
      <c r="AF286" s="686"/>
      <c r="AG286" s="686"/>
      <c r="AH286" s="686"/>
      <c r="AI286" s="686"/>
      <c r="AJ286" s="686"/>
      <c r="AK286" s="686"/>
      <c r="AL286" s="686"/>
      <c r="AM286" s="687"/>
    </row>
    <row r="288" spans="1:45" ht="27.75" customHeight="1" x14ac:dyDescent="0.4">
      <c r="A288" s="115"/>
      <c r="B288" s="599" t="str">
        <f>U12組合せ!$B$1</f>
        <v>ＪＦＡ　Ｕ-１２サッカーリーグ2021（in栃木） 宇都宮地区リーグ戦（前期）</v>
      </c>
      <c r="C288" s="599"/>
      <c r="D288" s="599"/>
      <c r="E288" s="599"/>
      <c r="F288" s="599"/>
      <c r="G288" s="599"/>
      <c r="H288" s="599"/>
      <c r="I288" s="599"/>
      <c r="J288" s="599"/>
      <c r="K288" s="599"/>
      <c r="L288" s="599"/>
      <c r="M288" s="599"/>
      <c r="N288" s="599"/>
      <c r="O288" s="599"/>
      <c r="P288" s="599"/>
      <c r="Q288" s="599"/>
      <c r="R288" s="599"/>
      <c r="S288" s="599"/>
      <c r="T288" s="599"/>
      <c r="U288" s="599"/>
      <c r="V288" s="599"/>
      <c r="W288" s="599"/>
      <c r="X288" s="599"/>
      <c r="Y288" s="599"/>
      <c r="Z288" s="599"/>
      <c r="AA288" s="599"/>
      <c r="AB288" s="599"/>
      <c r="AC288" s="612" t="str">
        <f>"【"&amp;(U12組合せ!$H$3)&amp;"】"</f>
        <v>【Ｃ ブロック】</v>
      </c>
      <c r="AD288" s="612"/>
      <c r="AE288" s="612"/>
      <c r="AF288" s="612"/>
      <c r="AG288" s="612"/>
      <c r="AH288" s="612"/>
      <c r="AI288" s="612"/>
      <c r="AJ288" s="612"/>
      <c r="AK288" s="602" t="str">
        <f>"第"&amp;(U12組合せ!$D$39)</f>
        <v>第４節</v>
      </c>
      <c r="AL288" s="602"/>
      <c r="AM288" s="602"/>
      <c r="AN288" s="602"/>
      <c r="AO288" s="602"/>
      <c r="AP288" s="597" t="s">
        <v>331</v>
      </c>
      <c r="AQ288" s="598"/>
    </row>
    <row r="289" spans="1:45" ht="15" customHeight="1" x14ac:dyDescent="0.4">
      <c r="A289" s="115"/>
      <c r="B289" s="599"/>
      <c r="C289" s="599"/>
      <c r="D289" s="599"/>
      <c r="E289" s="599"/>
      <c r="F289" s="599"/>
      <c r="G289" s="599"/>
      <c r="H289" s="599"/>
      <c r="I289" s="599"/>
      <c r="J289" s="599"/>
      <c r="K289" s="599"/>
      <c r="L289" s="599"/>
      <c r="M289" s="599"/>
      <c r="N289" s="599"/>
      <c r="O289" s="599"/>
      <c r="P289" s="599"/>
      <c r="Q289" s="599"/>
      <c r="R289" s="599"/>
      <c r="S289" s="599"/>
      <c r="T289" s="599"/>
      <c r="U289" s="599"/>
      <c r="V289" s="599"/>
      <c r="W289" s="599"/>
      <c r="X289" s="599"/>
      <c r="Y289" s="599"/>
      <c r="Z289" s="599"/>
      <c r="AA289" s="599"/>
      <c r="AB289" s="599"/>
      <c r="AC289" s="601"/>
      <c r="AD289" s="601"/>
      <c r="AE289" s="601"/>
      <c r="AF289" s="601"/>
      <c r="AG289" s="601"/>
      <c r="AH289" s="601"/>
      <c r="AI289" s="601"/>
      <c r="AJ289" s="601"/>
      <c r="AK289" s="601"/>
      <c r="AL289" s="601"/>
      <c r="AM289" s="601"/>
      <c r="AN289" s="601"/>
      <c r="AO289" s="612"/>
      <c r="AP289" s="598"/>
      <c r="AQ289" s="598"/>
    </row>
    <row r="290" spans="1:45" ht="29.25" customHeight="1" x14ac:dyDescent="0.4">
      <c r="C290" s="635" t="s">
        <v>1</v>
      </c>
      <c r="D290" s="635"/>
      <c r="E290" s="635"/>
      <c r="F290" s="635"/>
      <c r="G290" s="725" t="str">
        <f>U12対戦スケジュール!O80</f>
        <v>平出北 PM</v>
      </c>
      <c r="H290" s="726"/>
      <c r="I290" s="726"/>
      <c r="J290" s="726"/>
      <c r="K290" s="726"/>
      <c r="L290" s="726"/>
      <c r="M290" s="726"/>
      <c r="N290" s="726"/>
      <c r="O290" s="727"/>
      <c r="P290" s="635" t="s">
        <v>0</v>
      </c>
      <c r="Q290" s="635"/>
      <c r="R290" s="635"/>
      <c r="S290" s="635"/>
      <c r="T290" s="725" t="str">
        <f>S294</f>
        <v>雀宮FC</v>
      </c>
      <c r="U290" s="726"/>
      <c r="V290" s="726"/>
      <c r="W290" s="726"/>
      <c r="X290" s="726"/>
      <c r="Y290" s="726"/>
      <c r="Z290" s="726"/>
      <c r="AA290" s="726"/>
      <c r="AB290" s="727"/>
      <c r="AC290" s="635" t="s">
        <v>2</v>
      </c>
      <c r="AD290" s="635"/>
      <c r="AE290" s="635"/>
      <c r="AF290" s="635"/>
      <c r="AG290" s="618">
        <f>U12組合せ!B$39</f>
        <v>44353</v>
      </c>
      <c r="AH290" s="619"/>
      <c r="AI290" s="619"/>
      <c r="AJ290" s="619"/>
      <c r="AK290" s="619"/>
      <c r="AL290" s="619"/>
      <c r="AM290" s="620" t="str">
        <f>"（"&amp;TEXT(AG290,"aaa")&amp;"）"</f>
        <v>（日）</v>
      </c>
      <c r="AN290" s="620"/>
      <c r="AO290" s="621"/>
      <c r="AP290" s="116"/>
      <c r="AR290" s="96">
        <f>300/2</f>
        <v>150</v>
      </c>
    </row>
    <row r="291" spans="1:45" ht="17.25" customHeight="1" x14ac:dyDescent="0.4">
      <c r="C291" s="96" t="str">
        <f>U12組合せ!I40</f>
        <v>C147</v>
      </c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95"/>
      <c r="X291" s="95"/>
      <c r="Y291" s="95"/>
      <c r="Z291" s="95"/>
      <c r="AA291" s="95"/>
      <c r="AB291" s="95"/>
      <c r="AC291" s="95"/>
      <c r="AR291" s="96">
        <v>82</v>
      </c>
    </row>
    <row r="292" spans="1:45" ht="30.75" customHeight="1" x14ac:dyDescent="0.4">
      <c r="C292" s="636" t="s">
        <v>510</v>
      </c>
      <c r="D292" s="636"/>
      <c r="E292" s="709" t="s">
        <v>524</v>
      </c>
      <c r="F292" s="709"/>
      <c r="G292" s="709"/>
      <c r="H292" s="709"/>
      <c r="I292" s="709"/>
      <c r="J292" s="709"/>
      <c r="K292" s="709"/>
      <c r="L292" s="709"/>
      <c r="M292" s="709"/>
      <c r="N292" s="709"/>
      <c r="O292" s="94"/>
      <c r="P292" s="94"/>
      <c r="Q292" s="637" t="s">
        <v>470</v>
      </c>
      <c r="R292" s="637"/>
      <c r="S292" s="584" t="s">
        <v>525</v>
      </c>
      <c r="T292" s="584"/>
      <c r="U292" s="584"/>
      <c r="V292" s="584"/>
      <c r="W292" s="584"/>
      <c r="X292" s="584"/>
      <c r="Y292" s="584"/>
      <c r="Z292" s="584"/>
      <c r="AA292" s="584"/>
      <c r="AB292" s="584"/>
      <c r="AC292" s="92"/>
      <c r="AD292" s="93"/>
      <c r="AE292" s="637" t="s">
        <v>535</v>
      </c>
      <c r="AF292" s="637"/>
      <c r="AG292" s="584" t="s">
        <v>530</v>
      </c>
      <c r="AH292" s="584"/>
      <c r="AI292" s="584"/>
      <c r="AJ292" s="584"/>
      <c r="AK292" s="584"/>
      <c r="AL292" s="584"/>
      <c r="AM292" s="584"/>
      <c r="AN292" s="584"/>
      <c r="AO292" s="584"/>
      <c r="AP292" s="584"/>
      <c r="AR292" s="96">
        <f>AR290-AR291</f>
        <v>68</v>
      </c>
    </row>
    <row r="293" spans="1:45" ht="30.75" customHeight="1" x14ac:dyDescent="0.4">
      <c r="C293" s="637" t="s">
        <v>463</v>
      </c>
      <c r="D293" s="637"/>
      <c r="E293" s="584" t="s">
        <v>526</v>
      </c>
      <c r="F293" s="584"/>
      <c r="G293" s="584"/>
      <c r="H293" s="584"/>
      <c r="I293" s="584"/>
      <c r="J293" s="584"/>
      <c r="K293" s="584"/>
      <c r="L293" s="584"/>
      <c r="M293" s="584"/>
      <c r="N293" s="584"/>
      <c r="O293" s="94"/>
      <c r="P293" s="94"/>
      <c r="Q293" s="637" t="s">
        <v>471</v>
      </c>
      <c r="R293" s="637"/>
      <c r="S293" s="584" t="s">
        <v>504</v>
      </c>
      <c r="T293" s="584"/>
      <c r="U293" s="584"/>
      <c r="V293" s="584"/>
      <c r="W293" s="584"/>
      <c r="X293" s="584"/>
      <c r="Y293" s="584"/>
      <c r="Z293" s="584"/>
      <c r="AA293" s="584"/>
      <c r="AB293" s="584"/>
      <c r="AC293" s="92"/>
      <c r="AD293" s="93"/>
      <c r="AE293" s="710" t="s">
        <v>514</v>
      </c>
      <c r="AF293" s="710"/>
      <c r="AG293" s="638" t="str">
        <f>U12組合せ!J11</f>
        <v>FCみらいV</v>
      </c>
      <c r="AH293" s="638"/>
      <c r="AI293" s="638"/>
      <c r="AJ293" s="638"/>
      <c r="AK293" s="638"/>
      <c r="AL293" s="638"/>
      <c r="AM293" s="638"/>
      <c r="AN293" s="638"/>
      <c r="AO293" s="638"/>
      <c r="AP293" s="638"/>
    </row>
    <row r="294" spans="1:45" ht="30.75" customHeight="1" x14ac:dyDescent="0.4">
      <c r="C294" s="637" t="s">
        <v>531</v>
      </c>
      <c r="D294" s="637"/>
      <c r="E294" s="584" t="s">
        <v>527</v>
      </c>
      <c r="F294" s="584"/>
      <c r="G294" s="584"/>
      <c r="H294" s="584"/>
      <c r="I294" s="584"/>
      <c r="J294" s="584"/>
      <c r="K294" s="584"/>
      <c r="L294" s="584"/>
      <c r="M294" s="584"/>
      <c r="N294" s="584"/>
      <c r="O294" s="94"/>
      <c r="P294" s="94"/>
      <c r="Q294" s="636" t="s">
        <v>533</v>
      </c>
      <c r="R294" s="636"/>
      <c r="S294" s="709" t="s">
        <v>528</v>
      </c>
      <c r="T294" s="709"/>
      <c r="U294" s="709"/>
      <c r="V294" s="709"/>
      <c r="W294" s="709"/>
      <c r="X294" s="709"/>
      <c r="Y294" s="709"/>
      <c r="Z294" s="709"/>
      <c r="AA294" s="709"/>
      <c r="AB294" s="709"/>
      <c r="AC294" s="92"/>
      <c r="AD294" s="93"/>
      <c r="AE294" s="710" t="s">
        <v>516</v>
      </c>
      <c r="AF294" s="710"/>
      <c r="AG294" s="638" t="str">
        <f>U12組合せ!J13</f>
        <v>清原フューチャーズ</v>
      </c>
      <c r="AH294" s="638"/>
      <c r="AI294" s="638"/>
      <c r="AJ294" s="638"/>
      <c r="AK294" s="638"/>
      <c r="AL294" s="638"/>
      <c r="AM294" s="638"/>
      <c r="AN294" s="638"/>
      <c r="AO294" s="638"/>
      <c r="AP294" s="638"/>
    </row>
    <row r="295" spans="1:45" ht="27.75" customHeight="1" x14ac:dyDescent="0.4">
      <c r="C295" s="636" t="s">
        <v>467</v>
      </c>
      <c r="D295" s="636"/>
      <c r="E295" s="709" t="s">
        <v>503</v>
      </c>
      <c r="F295" s="709"/>
      <c r="G295" s="709"/>
      <c r="H295" s="709"/>
      <c r="I295" s="709"/>
      <c r="J295" s="709"/>
      <c r="K295" s="709"/>
      <c r="L295" s="709"/>
      <c r="M295" s="709"/>
      <c r="N295" s="709"/>
      <c r="O295" s="94"/>
      <c r="P295" s="94"/>
      <c r="Q295" s="637" t="s">
        <v>511</v>
      </c>
      <c r="R295" s="637"/>
      <c r="S295" s="584" t="s">
        <v>529</v>
      </c>
      <c r="T295" s="584"/>
      <c r="U295" s="584"/>
      <c r="V295" s="584"/>
      <c r="W295" s="584"/>
      <c r="X295" s="584"/>
      <c r="Y295" s="584"/>
      <c r="Z295" s="584"/>
      <c r="AA295" s="584"/>
      <c r="AB295" s="584"/>
      <c r="AC295" s="92"/>
      <c r="AD295" s="93"/>
      <c r="AE295" s="710" t="s">
        <v>517</v>
      </c>
      <c r="AF295" s="710"/>
      <c r="AG295" s="638" t="str">
        <f>U12組合せ!J18</f>
        <v>ジュベニール</v>
      </c>
      <c r="AH295" s="638"/>
      <c r="AI295" s="638"/>
      <c r="AJ295" s="638"/>
      <c r="AK295" s="638"/>
      <c r="AL295" s="638"/>
      <c r="AM295" s="638"/>
      <c r="AN295" s="638"/>
      <c r="AO295" s="638"/>
      <c r="AP295" s="638"/>
    </row>
    <row r="296" spans="1:45" ht="12" customHeight="1" x14ac:dyDescent="0.4">
      <c r="B296" s="102"/>
      <c r="O296" s="102"/>
      <c r="P296" s="102"/>
      <c r="AC296" s="95"/>
      <c r="AD296" s="102"/>
      <c r="AE296" s="102"/>
      <c r="AF296" s="102"/>
      <c r="AG296" s="102"/>
    </row>
    <row r="297" spans="1:45" ht="12" customHeight="1" x14ac:dyDescent="0.4">
      <c r="C297" s="117"/>
      <c r="D297" s="118"/>
      <c r="E297" s="118"/>
      <c r="F297" s="118"/>
      <c r="G297" s="118"/>
      <c r="H297" s="118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18"/>
      <c r="U297" s="102"/>
      <c r="V297" s="118"/>
      <c r="W297" s="102"/>
      <c r="X297" s="118"/>
      <c r="Y297" s="102"/>
      <c r="Z297" s="118"/>
      <c r="AA297" s="102"/>
      <c r="AB297" s="118"/>
      <c r="AC297" s="118"/>
    </row>
    <row r="298" spans="1:45" ht="21.75" customHeight="1" x14ac:dyDescent="0.4">
      <c r="B298" s="118" t="str">
        <f ca="1">IF(B300="①","【監督会議 8：20～】","【監督会議 12：50～】")</f>
        <v>【監督会議 12：50～】</v>
      </c>
      <c r="I298" s="96" t="s">
        <v>330</v>
      </c>
    </row>
    <row r="299" spans="1:45" ht="19.5" customHeight="1" x14ac:dyDescent="0.4">
      <c r="B299" s="97"/>
      <c r="C299" s="711" t="s">
        <v>3</v>
      </c>
      <c r="D299" s="711"/>
      <c r="E299" s="711"/>
      <c r="F299" s="712" t="s">
        <v>4</v>
      </c>
      <c r="G299" s="712"/>
      <c r="H299" s="712"/>
      <c r="I299" s="712"/>
      <c r="J299" s="711" t="s">
        <v>5</v>
      </c>
      <c r="K299" s="713"/>
      <c r="L299" s="713"/>
      <c r="M299" s="713"/>
      <c r="N299" s="713"/>
      <c r="O299" s="713"/>
      <c r="P299" s="713"/>
      <c r="Q299" s="711" t="s">
        <v>32</v>
      </c>
      <c r="R299" s="711"/>
      <c r="S299" s="711"/>
      <c r="T299" s="711"/>
      <c r="U299" s="711"/>
      <c r="V299" s="711"/>
      <c r="W299" s="711"/>
      <c r="X299" s="711" t="s">
        <v>5</v>
      </c>
      <c r="Y299" s="713"/>
      <c r="Z299" s="713"/>
      <c r="AA299" s="713"/>
      <c r="AB299" s="713"/>
      <c r="AC299" s="713"/>
      <c r="AD299" s="713"/>
      <c r="AE299" s="712" t="s">
        <v>4</v>
      </c>
      <c r="AF299" s="712"/>
      <c r="AG299" s="712"/>
      <c r="AH299" s="712"/>
      <c r="AI299" s="711" t="s">
        <v>6</v>
      </c>
      <c r="AJ299" s="711"/>
      <c r="AK299" s="713"/>
      <c r="AL299" s="713"/>
      <c r="AM299" s="713"/>
      <c r="AN299" s="713"/>
      <c r="AO299" s="713"/>
      <c r="AP299" s="713"/>
    </row>
    <row r="300" spans="1:45" ht="19.5" customHeight="1" x14ac:dyDescent="0.4">
      <c r="B300" s="644" t="str">
        <f ca="1">DBCS(INDIRECT("U12対戦スケジュール!m"&amp;(ROW())/2-AR$292))</f>
        <v>④</v>
      </c>
      <c r="C300" s="645">
        <f ca="1">INDIRECT("U12対戦スケジュール!n"&amp;(ROW())/2-AR$292)</f>
        <v>0.5625</v>
      </c>
      <c r="D300" s="646"/>
      <c r="E300" s="647"/>
      <c r="F300" s="583"/>
      <c r="G300" s="583"/>
      <c r="H300" s="583"/>
      <c r="I300" s="583"/>
      <c r="J300" s="746" t="str">
        <f ca="1">VLOOKUP(AR300,U12組合せ!B$10:K$19,7,TRUE)</f>
        <v>FCアリーバ</v>
      </c>
      <c r="K300" s="747"/>
      <c r="L300" s="747"/>
      <c r="M300" s="747"/>
      <c r="N300" s="747"/>
      <c r="O300" s="747"/>
      <c r="P300" s="747"/>
      <c r="Q300" s="628" t="str">
        <f>IF(OR(S300="",S301=""),"",S300+S301)</f>
        <v/>
      </c>
      <c r="R300" s="630"/>
      <c r="S300" s="100"/>
      <c r="T300" s="101"/>
      <c r="U300" s="100"/>
      <c r="V300" s="628" t="str">
        <f>IF(OR(U300="",U301=""),"",U300+U301)</f>
        <v/>
      </c>
      <c r="W300" s="630"/>
      <c r="X300" s="746" t="str">
        <f ca="1">VLOOKUP(AS300,U12組合せ!B$10:K$19,7,TRUE)</f>
        <v>ともぞうSC　U11</v>
      </c>
      <c r="Y300" s="747"/>
      <c r="Z300" s="747"/>
      <c r="AA300" s="747"/>
      <c r="AB300" s="747"/>
      <c r="AC300" s="747"/>
      <c r="AD300" s="747"/>
      <c r="AE300" s="583"/>
      <c r="AF300" s="583"/>
      <c r="AG300" s="583"/>
      <c r="AH300" s="583"/>
      <c r="AI300" s="758" t="str">
        <f ca="1">DBCS(INDIRECT("U12対戦スケジュール!r"&amp;(ROW())/2-AR$292))</f>
        <v>Ｃ７／Ｄ２／Ｄ４／Ｃ７</v>
      </c>
      <c r="AJ300" s="759"/>
      <c r="AK300" s="759"/>
      <c r="AL300" s="759"/>
      <c r="AM300" s="759"/>
      <c r="AN300" s="759"/>
      <c r="AO300" s="759"/>
      <c r="AP300" s="760"/>
      <c r="AR300" s="119">
        <f ca="1">INDIRECT("U12対戦スケジュール!o"&amp;(ROW())/2-AR$292)</f>
        <v>1</v>
      </c>
      <c r="AS300" s="119">
        <f ca="1">INDIRECT("U12対戦スケジュール!q"&amp;(ROW())/2-AR$292)</f>
        <v>4</v>
      </c>
    </row>
    <row r="301" spans="1:45" ht="19.5" customHeight="1" x14ac:dyDescent="0.4">
      <c r="B301" s="644"/>
      <c r="C301" s="648"/>
      <c r="D301" s="649"/>
      <c r="E301" s="650"/>
      <c r="F301" s="583"/>
      <c r="G301" s="583"/>
      <c r="H301" s="583"/>
      <c r="I301" s="583"/>
      <c r="J301" s="747"/>
      <c r="K301" s="747"/>
      <c r="L301" s="747"/>
      <c r="M301" s="747"/>
      <c r="N301" s="747"/>
      <c r="O301" s="747"/>
      <c r="P301" s="747"/>
      <c r="Q301" s="631"/>
      <c r="R301" s="633"/>
      <c r="S301" s="100"/>
      <c r="T301" s="101"/>
      <c r="U301" s="100"/>
      <c r="V301" s="631"/>
      <c r="W301" s="633"/>
      <c r="X301" s="747"/>
      <c r="Y301" s="747"/>
      <c r="Z301" s="747"/>
      <c r="AA301" s="747"/>
      <c r="AB301" s="747"/>
      <c r="AC301" s="747"/>
      <c r="AD301" s="747"/>
      <c r="AE301" s="583"/>
      <c r="AF301" s="583"/>
      <c r="AG301" s="583"/>
      <c r="AH301" s="583"/>
      <c r="AI301" s="761"/>
      <c r="AJ301" s="762"/>
      <c r="AK301" s="762"/>
      <c r="AL301" s="762"/>
      <c r="AM301" s="762"/>
      <c r="AN301" s="762"/>
      <c r="AO301" s="762"/>
      <c r="AP301" s="763"/>
      <c r="AR301" s="119"/>
      <c r="AS301" s="119"/>
    </row>
    <row r="302" spans="1:45" ht="19.5" customHeight="1" x14ac:dyDescent="0.4">
      <c r="B302" s="644" t="str">
        <f t="shared" ref="B302" ca="1" si="18">DBCS(INDIRECT("U12対戦スケジュール!m"&amp;(ROW())/2-AR$292))</f>
        <v>⑤</v>
      </c>
      <c r="C302" s="645">
        <f t="shared" ref="C302" ca="1" si="19">INDIRECT("U12対戦スケジュール!n"&amp;(ROW())/2-AR$292)</f>
        <v>0.60450000000000004</v>
      </c>
      <c r="D302" s="646"/>
      <c r="E302" s="647"/>
      <c r="F302" s="583"/>
      <c r="G302" s="583"/>
      <c r="H302" s="583"/>
      <c r="I302" s="583"/>
      <c r="J302" s="746" t="str">
        <f ca="1">VLOOKUP(AR302,U12組合せ!B$10:K$19,7,TRUE)</f>
        <v>雀宮FC</v>
      </c>
      <c r="K302" s="747"/>
      <c r="L302" s="747"/>
      <c r="M302" s="747"/>
      <c r="N302" s="747"/>
      <c r="O302" s="747"/>
      <c r="P302" s="747"/>
      <c r="Q302" s="634" t="str">
        <f>IF(OR(S302="",S303=""),"",S302+S303)</f>
        <v/>
      </c>
      <c r="R302" s="634"/>
      <c r="S302" s="100"/>
      <c r="T302" s="101"/>
      <c r="U302" s="100"/>
      <c r="V302" s="634" t="str">
        <f>IF(OR(U302="",U303=""),"",U302+U303)</f>
        <v/>
      </c>
      <c r="W302" s="634"/>
      <c r="X302" s="746" t="str">
        <f ca="1">VLOOKUP(AS302,U12組合せ!B$10:K$19,7,TRUE)</f>
        <v>ともぞうSC　U11</v>
      </c>
      <c r="Y302" s="747"/>
      <c r="Z302" s="747"/>
      <c r="AA302" s="747"/>
      <c r="AB302" s="747"/>
      <c r="AC302" s="747"/>
      <c r="AD302" s="747"/>
      <c r="AE302" s="583"/>
      <c r="AF302" s="583"/>
      <c r="AG302" s="583"/>
      <c r="AH302" s="583"/>
      <c r="AI302" s="758" t="str">
        <f ca="1">DBCS(INDIRECT("U12対戦スケジュール!r"&amp;(ROW())/2-AR$292))</f>
        <v>Ｃ１／Ｄ４／Ｄ９／Ｃ１</v>
      </c>
      <c r="AJ302" s="759"/>
      <c r="AK302" s="759"/>
      <c r="AL302" s="759"/>
      <c r="AM302" s="759"/>
      <c r="AN302" s="759"/>
      <c r="AO302" s="759"/>
      <c r="AP302" s="760"/>
      <c r="AR302" s="119">
        <f ca="1">INDIRECT("U12対戦スケジュール!o"&amp;(ROW())/2-AR$292)</f>
        <v>7</v>
      </c>
      <c r="AS302" s="119">
        <f ca="1">INDIRECT("U12対戦スケジュール!q"&amp;(ROW())/2-AR$292)</f>
        <v>4</v>
      </c>
    </row>
    <row r="303" spans="1:45" ht="19.5" customHeight="1" x14ac:dyDescent="0.4">
      <c r="B303" s="644"/>
      <c r="C303" s="648"/>
      <c r="D303" s="649"/>
      <c r="E303" s="650"/>
      <c r="F303" s="583"/>
      <c r="G303" s="583"/>
      <c r="H303" s="583"/>
      <c r="I303" s="583"/>
      <c r="J303" s="747"/>
      <c r="K303" s="747"/>
      <c r="L303" s="747"/>
      <c r="M303" s="747"/>
      <c r="N303" s="747"/>
      <c r="O303" s="747"/>
      <c r="P303" s="747"/>
      <c r="Q303" s="634"/>
      <c r="R303" s="634"/>
      <c r="S303" s="100"/>
      <c r="T303" s="101"/>
      <c r="U303" s="100"/>
      <c r="V303" s="634"/>
      <c r="W303" s="634"/>
      <c r="X303" s="747"/>
      <c r="Y303" s="747"/>
      <c r="Z303" s="747"/>
      <c r="AA303" s="747"/>
      <c r="AB303" s="747"/>
      <c r="AC303" s="747"/>
      <c r="AD303" s="747"/>
      <c r="AE303" s="583"/>
      <c r="AF303" s="583"/>
      <c r="AG303" s="583"/>
      <c r="AH303" s="583"/>
      <c r="AI303" s="761"/>
      <c r="AJ303" s="762"/>
      <c r="AK303" s="762"/>
      <c r="AL303" s="762"/>
      <c r="AM303" s="762"/>
      <c r="AN303" s="762"/>
      <c r="AO303" s="762"/>
      <c r="AP303" s="763"/>
      <c r="AR303" s="119"/>
      <c r="AS303" s="119"/>
    </row>
    <row r="304" spans="1:45" ht="19.5" customHeight="1" x14ac:dyDescent="0.4">
      <c r="B304" s="644" t="str">
        <f t="shared" ref="B304" ca="1" si="20">DBCS(INDIRECT("U12対戦スケジュール!m"&amp;(ROW())/2-AR$292))</f>
        <v>⑥</v>
      </c>
      <c r="C304" s="645">
        <f t="shared" ref="C304" ca="1" si="21">INDIRECT("U12対戦スケジュール!n"&amp;(ROW())/2-AR$292)</f>
        <v>0.64650000000000007</v>
      </c>
      <c r="D304" s="646"/>
      <c r="E304" s="647"/>
      <c r="F304" s="583"/>
      <c r="G304" s="583"/>
      <c r="H304" s="583"/>
      <c r="I304" s="583"/>
      <c r="J304" s="746" t="str">
        <f ca="1">VLOOKUP(AR304,U12組合せ!B$10:K$19,7,TRUE)</f>
        <v>雀宮FC</v>
      </c>
      <c r="K304" s="747"/>
      <c r="L304" s="747"/>
      <c r="M304" s="747"/>
      <c r="N304" s="747"/>
      <c r="O304" s="747"/>
      <c r="P304" s="747"/>
      <c r="Q304" s="634" t="str">
        <f>IF(OR(S304="",S305=""),"",S304+S305)</f>
        <v/>
      </c>
      <c r="R304" s="634"/>
      <c r="S304" s="100"/>
      <c r="T304" s="101"/>
      <c r="U304" s="100"/>
      <c r="V304" s="634" t="str">
        <f>IF(OR(U304="",U305=""),"",U304+U305)</f>
        <v/>
      </c>
      <c r="W304" s="634"/>
      <c r="X304" s="746" t="str">
        <f ca="1">VLOOKUP(AS304,U12組合せ!B$10:K$19,7,TRUE)</f>
        <v>FCアリーバ</v>
      </c>
      <c r="Y304" s="747"/>
      <c r="Z304" s="747"/>
      <c r="AA304" s="747"/>
      <c r="AB304" s="747"/>
      <c r="AC304" s="747"/>
      <c r="AD304" s="747"/>
      <c r="AE304" s="583"/>
      <c r="AF304" s="583"/>
      <c r="AG304" s="583"/>
      <c r="AH304" s="583"/>
      <c r="AI304" s="758" t="str">
        <f ca="1">DBCS(INDIRECT("U12対戦スケジュール!r"&amp;(ROW())/2-AR$292))</f>
        <v>Ｃ４／Ｄ９／Ｄ２／Ｃ４</v>
      </c>
      <c r="AJ304" s="759"/>
      <c r="AK304" s="759"/>
      <c r="AL304" s="759"/>
      <c r="AM304" s="759"/>
      <c r="AN304" s="759"/>
      <c r="AO304" s="759"/>
      <c r="AP304" s="760"/>
      <c r="AR304" s="119">
        <f ca="1">INDIRECT("U12対戦スケジュール!o"&amp;(ROW())/2-AR$292)</f>
        <v>7</v>
      </c>
      <c r="AS304" s="119">
        <f ca="1">INDIRECT("U12対戦スケジュール!q"&amp;(ROW())/2-AR$292)</f>
        <v>1</v>
      </c>
    </row>
    <row r="305" spans="1:45" ht="19.5" customHeight="1" x14ac:dyDescent="0.4">
      <c r="B305" s="644"/>
      <c r="C305" s="648"/>
      <c r="D305" s="649"/>
      <c r="E305" s="650"/>
      <c r="F305" s="583"/>
      <c r="G305" s="583"/>
      <c r="H305" s="583"/>
      <c r="I305" s="583"/>
      <c r="J305" s="747"/>
      <c r="K305" s="747"/>
      <c r="L305" s="747"/>
      <c r="M305" s="747"/>
      <c r="N305" s="747"/>
      <c r="O305" s="747"/>
      <c r="P305" s="747"/>
      <c r="Q305" s="634"/>
      <c r="R305" s="634"/>
      <c r="S305" s="100"/>
      <c r="T305" s="101"/>
      <c r="U305" s="100"/>
      <c r="V305" s="634"/>
      <c r="W305" s="634"/>
      <c r="X305" s="747"/>
      <c r="Y305" s="747"/>
      <c r="Z305" s="747"/>
      <c r="AA305" s="747"/>
      <c r="AB305" s="747"/>
      <c r="AC305" s="747"/>
      <c r="AD305" s="747"/>
      <c r="AE305" s="583"/>
      <c r="AF305" s="583"/>
      <c r="AG305" s="583"/>
      <c r="AH305" s="583"/>
      <c r="AI305" s="761"/>
      <c r="AJ305" s="762"/>
      <c r="AK305" s="762"/>
      <c r="AL305" s="762"/>
      <c r="AM305" s="762"/>
      <c r="AN305" s="762"/>
      <c r="AO305" s="762"/>
      <c r="AP305" s="763"/>
      <c r="AR305" s="119"/>
      <c r="AS305" s="119"/>
    </row>
    <row r="306" spans="1:45" ht="19.5" customHeight="1" x14ac:dyDescent="0.4">
      <c r="B306" s="586"/>
      <c r="C306" s="739"/>
      <c r="D306" s="740"/>
      <c r="E306" s="741"/>
      <c r="F306" s="704"/>
      <c r="G306" s="704"/>
      <c r="H306" s="704"/>
      <c r="I306" s="704"/>
      <c r="J306" s="701"/>
      <c r="K306" s="702"/>
      <c r="L306" s="702"/>
      <c r="M306" s="702"/>
      <c r="N306" s="702"/>
      <c r="O306" s="702"/>
      <c r="P306" s="702"/>
      <c r="Q306" s="705"/>
      <c r="R306" s="705"/>
      <c r="S306" s="109"/>
      <c r="T306" s="110"/>
      <c r="U306" s="109"/>
      <c r="V306" s="705"/>
      <c r="W306" s="705"/>
      <c r="X306" s="701"/>
      <c r="Y306" s="702"/>
      <c r="Z306" s="702"/>
      <c r="AA306" s="702"/>
      <c r="AB306" s="702"/>
      <c r="AC306" s="702"/>
      <c r="AD306" s="702"/>
      <c r="AE306" s="704"/>
      <c r="AF306" s="704"/>
      <c r="AG306" s="704"/>
      <c r="AH306" s="704"/>
      <c r="AI306" s="706"/>
      <c r="AJ306" s="707"/>
      <c r="AK306" s="707"/>
      <c r="AL306" s="707"/>
      <c r="AM306" s="707"/>
      <c r="AN306" s="707"/>
      <c r="AO306" s="707"/>
      <c r="AP306" s="707"/>
      <c r="AR306" s="119"/>
      <c r="AS306" s="119"/>
    </row>
    <row r="307" spans="1:45" ht="19.5" customHeight="1" x14ac:dyDescent="0.4">
      <c r="B307" s="644"/>
      <c r="C307" s="648"/>
      <c r="D307" s="649"/>
      <c r="E307" s="650"/>
      <c r="F307" s="583"/>
      <c r="G307" s="583"/>
      <c r="H307" s="583"/>
      <c r="I307" s="583"/>
      <c r="J307" s="703"/>
      <c r="K307" s="703"/>
      <c r="L307" s="703"/>
      <c r="M307" s="703"/>
      <c r="N307" s="703"/>
      <c r="O307" s="703"/>
      <c r="P307" s="703"/>
      <c r="Q307" s="634"/>
      <c r="R307" s="634"/>
      <c r="S307" s="100"/>
      <c r="T307" s="101"/>
      <c r="U307" s="100"/>
      <c r="V307" s="634"/>
      <c r="W307" s="634"/>
      <c r="X307" s="703"/>
      <c r="Y307" s="703"/>
      <c r="Z307" s="703"/>
      <c r="AA307" s="703"/>
      <c r="AB307" s="703"/>
      <c r="AC307" s="703"/>
      <c r="AD307" s="703"/>
      <c r="AE307" s="583"/>
      <c r="AF307" s="583"/>
      <c r="AG307" s="583"/>
      <c r="AH307" s="583"/>
      <c r="AI307" s="708"/>
      <c r="AJ307" s="708"/>
      <c r="AK307" s="708"/>
      <c r="AL307" s="708"/>
      <c r="AM307" s="708"/>
      <c r="AN307" s="708"/>
      <c r="AO307" s="708"/>
      <c r="AP307" s="708"/>
      <c r="AR307" s="119"/>
      <c r="AS307" s="119"/>
    </row>
    <row r="308" spans="1:45" ht="19.5" customHeight="1" x14ac:dyDescent="0.4">
      <c r="B308" s="585"/>
      <c r="C308" s="587"/>
      <c r="D308" s="588"/>
      <c r="E308" s="589"/>
      <c r="F308" s="622"/>
      <c r="G308" s="623"/>
      <c r="H308" s="623"/>
      <c r="I308" s="624"/>
      <c r="J308" s="689"/>
      <c r="K308" s="690"/>
      <c r="L308" s="690"/>
      <c r="M308" s="690"/>
      <c r="N308" s="690"/>
      <c r="O308" s="690"/>
      <c r="P308" s="691"/>
      <c r="Q308" s="628"/>
      <c r="R308" s="630"/>
      <c r="S308" s="100"/>
      <c r="T308" s="101"/>
      <c r="U308" s="100"/>
      <c r="V308" s="628"/>
      <c r="W308" s="630"/>
      <c r="X308" s="695"/>
      <c r="Y308" s="696"/>
      <c r="Z308" s="696"/>
      <c r="AA308" s="696"/>
      <c r="AB308" s="696"/>
      <c r="AC308" s="696"/>
      <c r="AD308" s="697"/>
      <c r="AE308" s="622"/>
      <c r="AF308" s="623"/>
      <c r="AG308" s="623"/>
      <c r="AH308" s="624"/>
      <c r="AI308" s="628"/>
      <c r="AJ308" s="629"/>
      <c r="AK308" s="629"/>
      <c r="AL308" s="629"/>
      <c r="AM308" s="629"/>
      <c r="AN308" s="629"/>
      <c r="AO308" s="629"/>
      <c r="AP308" s="630"/>
    </row>
    <row r="309" spans="1:45" ht="19.5" customHeight="1" x14ac:dyDescent="0.4">
      <c r="B309" s="586"/>
      <c r="C309" s="590"/>
      <c r="D309" s="591"/>
      <c r="E309" s="592"/>
      <c r="F309" s="625"/>
      <c r="G309" s="626"/>
      <c r="H309" s="626"/>
      <c r="I309" s="627"/>
      <c r="J309" s="692"/>
      <c r="K309" s="693"/>
      <c r="L309" s="693"/>
      <c r="M309" s="693"/>
      <c r="N309" s="693"/>
      <c r="O309" s="693"/>
      <c r="P309" s="694"/>
      <c r="Q309" s="631"/>
      <c r="R309" s="633"/>
      <c r="S309" s="100"/>
      <c r="T309" s="101"/>
      <c r="U309" s="100"/>
      <c r="V309" s="631"/>
      <c r="W309" s="633"/>
      <c r="X309" s="698"/>
      <c r="Y309" s="699"/>
      <c r="Z309" s="699"/>
      <c r="AA309" s="699"/>
      <c r="AB309" s="699"/>
      <c r="AC309" s="699"/>
      <c r="AD309" s="700"/>
      <c r="AE309" s="625"/>
      <c r="AF309" s="626"/>
      <c r="AG309" s="626"/>
      <c r="AH309" s="627"/>
      <c r="AI309" s="631"/>
      <c r="AJ309" s="632"/>
      <c r="AK309" s="632"/>
      <c r="AL309" s="632"/>
      <c r="AM309" s="632"/>
      <c r="AN309" s="632"/>
      <c r="AO309" s="632"/>
      <c r="AP309" s="633"/>
    </row>
    <row r="310" spans="1:45" ht="19.5" customHeight="1" x14ac:dyDescent="0.4">
      <c r="B310" s="585"/>
      <c r="C310" s="587"/>
      <c r="D310" s="588"/>
      <c r="E310" s="589"/>
      <c r="F310" s="622"/>
      <c r="G310" s="623"/>
      <c r="H310" s="623"/>
      <c r="I310" s="624"/>
      <c r="J310" s="689"/>
      <c r="K310" s="690"/>
      <c r="L310" s="690"/>
      <c r="M310" s="690"/>
      <c r="N310" s="690"/>
      <c r="O310" s="690"/>
      <c r="P310" s="691"/>
      <c r="Q310" s="628"/>
      <c r="R310" s="630"/>
      <c r="S310" s="100"/>
      <c r="T310" s="101"/>
      <c r="U310" s="100"/>
      <c r="V310" s="628"/>
      <c r="W310" s="630"/>
      <c r="X310" s="695"/>
      <c r="Y310" s="696"/>
      <c r="Z310" s="696"/>
      <c r="AA310" s="696"/>
      <c r="AB310" s="696"/>
      <c r="AC310" s="696"/>
      <c r="AD310" s="697"/>
      <c r="AE310" s="622"/>
      <c r="AF310" s="623"/>
      <c r="AG310" s="623"/>
      <c r="AH310" s="624"/>
      <c r="AI310" s="628"/>
      <c r="AJ310" s="629"/>
      <c r="AK310" s="629"/>
      <c r="AL310" s="629"/>
      <c r="AM310" s="629"/>
      <c r="AN310" s="629"/>
      <c r="AO310" s="629"/>
      <c r="AP310" s="630"/>
    </row>
    <row r="311" spans="1:45" ht="19.5" customHeight="1" x14ac:dyDescent="0.4">
      <c r="B311" s="586"/>
      <c r="C311" s="590"/>
      <c r="D311" s="591"/>
      <c r="E311" s="592"/>
      <c r="F311" s="625"/>
      <c r="G311" s="626"/>
      <c r="H311" s="626"/>
      <c r="I311" s="627"/>
      <c r="J311" s="692"/>
      <c r="K311" s="693"/>
      <c r="L311" s="693"/>
      <c r="M311" s="693"/>
      <c r="N311" s="693"/>
      <c r="O311" s="693"/>
      <c r="P311" s="694"/>
      <c r="Q311" s="631"/>
      <c r="R311" s="633"/>
      <c r="S311" s="100"/>
      <c r="T311" s="101"/>
      <c r="U311" s="100"/>
      <c r="V311" s="631"/>
      <c r="W311" s="633"/>
      <c r="X311" s="698"/>
      <c r="Y311" s="699"/>
      <c r="Z311" s="699"/>
      <c r="AA311" s="699"/>
      <c r="AB311" s="699"/>
      <c r="AC311" s="699"/>
      <c r="AD311" s="700"/>
      <c r="AE311" s="625"/>
      <c r="AF311" s="626"/>
      <c r="AG311" s="626"/>
      <c r="AH311" s="627"/>
      <c r="AI311" s="631"/>
      <c r="AJ311" s="632"/>
      <c r="AK311" s="632"/>
      <c r="AL311" s="632"/>
      <c r="AM311" s="632"/>
      <c r="AN311" s="632"/>
      <c r="AO311" s="632"/>
      <c r="AP311" s="633"/>
    </row>
    <row r="312" spans="1:45" ht="16.5" x14ac:dyDescent="0.4">
      <c r="B312" s="585"/>
      <c r="C312" s="587"/>
      <c r="D312" s="588"/>
      <c r="E312" s="589"/>
      <c r="F312" s="622"/>
      <c r="G312" s="623"/>
      <c r="H312" s="623"/>
      <c r="I312" s="624"/>
      <c r="J312" s="689"/>
      <c r="K312" s="690"/>
      <c r="L312" s="690"/>
      <c r="M312" s="690"/>
      <c r="N312" s="690"/>
      <c r="O312" s="690"/>
      <c r="P312" s="691"/>
      <c r="Q312" s="628"/>
      <c r="R312" s="630"/>
      <c r="S312" s="100"/>
      <c r="T312" s="101"/>
      <c r="U312" s="100"/>
      <c r="V312" s="628"/>
      <c r="W312" s="630"/>
      <c r="X312" s="695"/>
      <c r="Y312" s="696"/>
      <c r="Z312" s="696"/>
      <c r="AA312" s="696"/>
      <c r="AB312" s="696"/>
      <c r="AC312" s="696"/>
      <c r="AD312" s="697"/>
      <c r="AE312" s="622"/>
      <c r="AF312" s="623"/>
      <c r="AG312" s="623"/>
      <c r="AH312" s="624"/>
      <c r="AI312" s="628"/>
      <c r="AJ312" s="629"/>
      <c r="AK312" s="629"/>
      <c r="AL312" s="629"/>
      <c r="AM312" s="629"/>
      <c r="AN312" s="629"/>
      <c r="AO312" s="629"/>
      <c r="AP312" s="630"/>
    </row>
    <row r="313" spans="1:45" ht="16.5" x14ac:dyDescent="0.4">
      <c r="B313" s="586"/>
      <c r="C313" s="590"/>
      <c r="D313" s="591"/>
      <c r="E313" s="592"/>
      <c r="F313" s="625"/>
      <c r="G313" s="626"/>
      <c r="H313" s="626"/>
      <c r="I313" s="627"/>
      <c r="J313" s="692"/>
      <c r="K313" s="693"/>
      <c r="L313" s="693"/>
      <c r="M313" s="693"/>
      <c r="N313" s="693"/>
      <c r="O313" s="693"/>
      <c r="P313" s="694"/>
      <c r="Q313" s="631"/>
      <c r="R313" s="633"/>
      <c r="S313" s="100"/>
      <c r="T313" s="101"/>
      <c r="U313" s="100"/>
      <c r="V313" s="631"/>
      <c r="W313" s="633"/>
      <c r="X313" s="698"/>
      <c r="Y313" s="699"/>
      <c r="Z313" s="699"/>
      <c r="AA313" s="699"/>
      <c r="AB313" s="699"/>
      <c r="AC313" s="699"/>
      <c r="AD313" s="700"/>
      <c r="AE313" s="625"/>
      <c r="AF313" s="626"/>
      <c r="AG313" s="626"/>
      <c r="AH313" s="627"/>
      <c r="AI313" s="631"/>
      <c r="AJ313" s="632"/>
      <c r="AK313" s="632"/>
      <c r="AL313" s="632"/>
      <c r="AM313" s="632"/>
      <c r="AN313" s="632"/>
      <c r="AO313" s="632"/>
      <c r="AP313" s="633"/>
    </row>
    <row r="314" spans="1:45" ht="20.25" thickBot="1" x14ac:dyDescent="0.45">
      <c r="A314" s="102"/>
      <c r="B314" s="103"/>
      <c r="C314" s="104"/>
      <c r="D314" s="104"/>
      <c r="E314" s="104"/>
      <c r="F314" s="103"/>
      <c r="G314" s="103"/>
      <c r="H314" s="103"/>
      <c r="I314" s="103"/>
      <c r="J314" s="103"/>
      <c r="K314" s="105"/>
      <c r="L314" s="105"/>
      <c r="M314" s="106"/>
      <c r="N314" s="107"/>
      <c r="O314" s="106"/>
      <c r="P314" s="105"/>
      <c r="Q314" s="105"/>
      <c r="R314" s="103"/>
      <c r="S314" s="103"/>
      <c r="T314" s="103"/>
      <c r="U314" s="103"/>
      <c r="V314" s="103"/>
      <c r="W314" s="108"/>
      <c r="X314" s="108"/>
      <c r="Y314" s="108"/>
      <c r="Z314" s="108"/>
      <c r="AA314" s="108"/>
      <c r="AB314" s="108"/>
      <c r="AC314" s="102"/>
    </row>
    <row r="315" spans="1:45" ht="20.25" thickBot="1" x14ac:dyDescent="0.45">
      <c r="D315" s="664" t="s">
        <v>8</v>
      </c>
      <c r="E315" s="665"/>
      <c r="F315" s="665"/>
      <c r="G315" s="665"/>
      <c r="H315" s="665"/>
      <c r="I315" s="666"/>
      <c r="J315" s="667" t="s">
        <v>5</v>
      </c>
      <c r="K315" s="665"/>
      <c r="L315" s="665"/>
      <c r="M315" s="665"/>
      <c r="N315" s="665"/>
      <c r="O315" s="665"/>
      <c r="P315" s="665"/>
      <c r="Q315" s="666"/>
      <c r="R315" s="668" t="s">
        <v>9</v>
      </c>
      <c r="S315" s="669"/>
      <c r="T315" s="669"/>
      <c r="U315" s="669"/>
      <c r="V315" s="669"/>
      <c r="W315" s="669"/>
      <c r="X315" s="669"/>
      <c r="Y315" s="669"/>
      <c r="Z315" s="670"/>
      <c r="AA315" s="609" t="s">
        <v>10</v>
      </c>
      <c r="AB315" s="610"/>
      <c r="AC315" s="671"/>
      <c r="AD315" s="609" t="s">
        <v>11</v>
      </c>
      <c r="AE315" s="610"/>
      <c r="AF315" s="610"/>
      <c r="AG315" s="610"/>
      <c r="AH315" s="610"/>
      <c r="AI315" s="610"/>
      <c r="AJ315" s="610"/>
      <c r="AK315" s="610"/>
      <c r="AL315" s="610"/>
      <c r="AM315" s="611"/>
    </row>
    <row r="316" spans="1:45" ht="26.25" customHeight="1" x14ac:dyDescent="0.4">
      <c r="D316" s="651" t="s">
        <v>298</v>
      </c>
      <c r="E316" s="652"/>
      <c r="F316" s="652"/>
      <c r="G316" s="652"/>
      <c r="H316" s="652"/>
      <c r="I316" s="653"/>
      <c r="J316" s="654"/>
      <c r="K316" s="652"/>
      <c r="L316" s="652"/>
      <c r="M316" s="652"/>
      <c r="N316" s="652"/>
      <c r="O316" s="652"/>
      <c r="P316" s="652"/>
      <c r="Q316" s="653"/>
      <c r="R316" s="655"/>
      <c r="S316" s="656"/>
      <c r="T316" s="656"/>
      <c r="U316" s="656"/>
      <c r="V316" s="656"/>
      <c r="W316" s="656"/>
      <c r="X316" s="656"/>
      <c r="Y316" s="656"/>
      <c r="Z316" s="657"/>
      <c r="AA316" s="658"/>
      <c r="AB316" s="659"/>
      <c r="AC316" s="660"/>
      <c r="AD316" s="661"/>
      <c r="AE316" s="662"/>
      <c r="AF316" s="662"/>
      <c r="AG316" s="662"/>
      <c r="AH316" s="662"/>
      <c r="AI316" s="662"/>
      <c r="AJ316" s="662"/>
      <c r="AK316" s="662"/>
      <c r="AL316" s="662"/>
      <c r="AM316" s="663"/>
    </row>
    <row r="317" spans="1:45" ht="26.25" customHeight="1" x14ac:dyDescent="0.4">
      <c r="D317" s="688" t="s">
        <v>12</v>
      </c>
      <c r="E317" s="604"/>
      <c r="F317" s="604"/>
      <c r="G317" s="604"/>
      <c r="H317" s="604"/>
      <c r="I317" s="605"/>
      <c r="J317" s="603"/>
      <c r="K317" s="604"/>
      <c r="L317" s="604"/>
      <c r="M317" s="604"/>
      <c r="N317" s="604"/>
      <c r="O317" s="604"/>
      <c r="P317" s="604"/>
      <c r="Q317" s="605"/>
      <c r="R317" s="606"/>
      <c r="S317" s="607"/>
      <c r="T317" s="607"/>
      <c r="U317" s="607"/>
      <c r="V317" s="607"/>
      <c r="W317" s="607"/>
      <c r="X317" s="607"/>
      <c r="Y317" s="607"/>
      <c r="Z317" s="608"/>
      <c r="AA317" s="606"/>
      <c r="AB317" s="607"/>
      <c r="AC317" s="608"/>
      <c r="AD317" s="672"/>
      <c r="AE317" s="673"/>
      <c r="AF317" s="673"/>
      <c r="AG317" s="673"/>
      <c r="AH317" s="673"/>
      <c r="AI317" s="673"/>
      <c r="AJ317" s="673"/>
      <c r="AK317" s="673"/>
      <c r="AL317" s="673"/>
      <c r="AM317" s="674"/>
    </row>
    <row r="318" spans="1:45" ht="26.25" customHeight="1" thickBot="1" x14ac:dyDescent="0.45">
      <c r="D318" s="675" t="s">
        <v>12</v>
      </c>
      <c r="E318" s="676"/>
      <c r="F318" s="676"/>
      <c r="G318" s="676"/>
      <c r="H318" s="676"/>
      <c r="I318" s="677"/>
      <c r="J318" s="678"/>
      <c r="K318" s="676"/>
      <c r="L318" s="676"/>
      <c r="M318" s="676"/>
      <c r="N318" s="676"/>
      <c r="O318" s="676"/>
      <c r="P318" s="676"/>
      <c r="Q318" s="677"/>
      <c r="R318" s="679"/>
      <c r="S318" s="680"/>
      <c r="T318" s="680"/>
      <c r="U318" s="680"/>
      <c r="V318" s="680"/>
      <c r="W318" s="680"/>
      <c r="X318" s="680"/>
      <c r="Y318" s="680"/>
      <c r="Z318" s="681"/>
      <c r="AA318" s="682"/>
      <c r="AB318" s="683"/>
      <c r="AC318" s="684"/>
      <c r="AD318" s="685"/>
      <c r="AE318" s="686"/>
      <c r="AF318" s="686"/>
      <c r="AG318" s="686"/>
      <c r="AH318" s="686"/>
      <c r="AI318" s="686"/>
      <c r="AJ318" s="686"/>
      <c r="AK318" s="686"/>
      <c r="AL318" s="686"/>
      <c r="AM318" s="687"/>
    </row>
    <row r="319" spans="1:45" ht="15" customHeight="1" x14ac:dyDescent="0.4"/>
    <row r="320" spans="1:45" ht="27.75" customHeight="1" x14ac:dyDescent="0.4">
      <c r="A320" s="115"/>
      <c r="B320" s="599" t="str">
        <f>U12組合せ!$B$1</f>
        <v>ＪＦＡ　Ｕ-１２サッカーリーグ2021（in栃木） 宇都宮地区リーグ戦（前期）</v>
      </c>
      <c r="C320" s="599"/>
      <c r="D320" s="599"/>
      <c r="E320" s="599"/>
      <c r="F320" s="599"/>
      <c r="G320" s="599"/>
      <c r="H320" s="599"/>
      <c r="I320" s="599"/>
      <c r="J320" s="599"/>
      <c r="K320" s="599"/>
      <c r="L320" s="599"/>
      <c r="M320" s="599"/>
      <c r="N320" s="599"/>
      <c r="O320" s="599"/>
      <c r="P320" s="599"/>
      <c r="Q320" s="599"/>
      <c r="R320" s="599"/>
      <c r="S320" s="599"/>
      <c r="T320" s="599"/>
      <c r="U320" s="599"/>
      <c r="V320" s="599"/>
      <c r="W320" s="599"/>
      <c r="X320" s="599"/>
      <c r="Y320" s="599"/>
      <c r="Z320" s="599"/>
      <c r="AA320" s="599"/>
      <c r="AB320" s="599"/>
      <c r="AC320" s="612" t="str">
        <f>"【"&amp;(U12組合せ!$H$3)&amp;"】"</f>
        <v>【Ｃ ブロック】</v>
      </c>
      <c r="AD320" s="612"/>
      <c r="AE320" s="612"/>
      <c r="AF320" s="612"/>
      <c r="AG320" s="612"/>
      <c r="AH320" s="612"/>
      <c r="AI320" s="612"/>
      <c r="AJ320" s="612"/>
      <c r="AK320" s="602" t="str">
        <f>"第"&amp;(U12組合せ!$D$39)</f>
        <v>第４節</v>
      </c>
      <c r="AL320" s="602"/>
      <c r="AM320" s="602"/>
      <c r="AN320" s="602"/>
      <c r="AO320" s="602"/>
      <c r="AP320" s="597" t="s">
        <v>332</v>
      </c>
      <c r="AQ320" s="598"/>
    </row>
    <row r="321" spans="1:45" ht="15" customHeight="1" x14ac:dyDescent="0.4">
      <c r="A321" s="115"/>
      <c r="B321" s="599"/>
      <c r="C321" s="599"/>
      <c r="D321" s="599"/>
      <c r="E321" s="599"/>
      <c r="F321" s="599"/>
      <c r="G321" s="599"/>
      <c r="H321" s="599"/>
      <c r="I321" s="599"/>
      <c r="J321" s="599"/>
      <c r="K321" s="599"/>
      <c r="L321" s="599"/>
      <c r="M321" s="599"/>
      <c r="N321" s="599"/>
      <c r="O321" s="599"/>
      <c r="P321" s="599"/>
      <c r="Q321" s="599"/>
      <c r="R321" s="599"/>
      <c r="S321" s="599"/>
      <c r="T321" s="599"/>
      <c r="U321" s="599"/>
      <c r="V321" s="599"/>
      <c r="W321" s="599"/>
      <c r="X321" s="599"/>
      <c r="Y321" s="599"/>
      <c r="Z321" s="599"/>
      <c r="AA321" s="599"/>
      <c r="AB321" s="599"/>
      <c r="AC321" s="601"/>
      <c r="AD321" s="601"/>
      <c r="AE321" s="601"/>
      <c r="AF321" s="601"/>
      <c r="AG321" s="601"/>
      <c r="AH321" s="601"/>
      <c r="AI321" s="601"/>
      <c r="AJ321" s="601"/>
      <c r="AK321" s="601"/>
      <c r="AL321" s="601"/>
      <c r="AM321" s="601"/>
      <c r="AN321" s="601"/>
      <c r="AO321" s="612"/>
      <c r="AP321" s="598"/>
      <c r="AQ321" s="598"/>
    </row>
    <row r="322" spans="1:45" ht="29.25" customHeight="1" x14ac:dyDescent="0.4">
      <c r="C322" s="635" t="s">
        <v>1</v>
      </c>
      <c r="D322" s="635"/>
      <c r="E322" s="635"/>
      <c r="F322" s="635"/>
      <c r="G322" s="725" t="str">
        <f>U12対戦スケジュール!O87</f>
        <v>GP白沢 北 AM</v>
      </c>
      <c r="H322" s="726"/>
      <c r="I322" s="726"/>
      <c r="J322" s="726"/>
      <c r="K322" s="726"/>
      <c r="L322" s="726"/>
      <c r="M322" s="726"/>
      <c r="N322" s="726"/>
      <c r="O322" s="727"/>
      <c r="P322" s="635" t="s">
        <v>0</v>
      </c>
      <c r="Q322" s="635"/>
      <c r="R322" s="635"/>
      <c r="S322" s="635"/>
      <c r="T322" s="725" t="str">
        <f>E325</f>
        <v>カテット白沢SS</v>
      </c>
      <c r="U322" s="726"/>
      <c r="V322" s="726"/>
      <c r="W322" s="726"/>
      <c r="X322" s="726"/>
      <c r="Y322" s="726"/>
      <c r="Z322" s="726"/>
      <c r="AA322" s="726"/>
      <c r="AB322" s="727"/>
      <c r="AC322" s="635" t="s">
        <v>2</v>
      </c>
      <c r="AD322" s="635"/>
      <c r="AE322" s="635"/>
      <c r="AF322" s="635"/>
      <c r="AG322" s="618">
        <f>U12組合せ!B$39</f>
        <v>44353</v>
      </c>
      <c r="AH322" s="619"/>
      <c r="AI322" s="619"/>
      <c r="AJ322" s="619"/>
      <c r="AK322" s="619"/>
      <c r="AL322" s="619"/>
      <c r="AM322" s="620" t="str">
        <f>"（"&amp;TEXT(AG322,"aaa")&amp;"）"</f>
        <v>（日）</v>
      </c>
      <c r="AN322" s="620"/>
      <c r="AO322" s="621"/>
      <c r="AP322" s="116"/>
      <c r="AR322" s="96">
        <f>332/2</f>
        <v>166</v>
      </c>
    </row>
    <row r="323" spans="1:45" ht="17.25" customHeight="1" x14ac:dyDescent="0.4">
      <c r="C323" s="96" t="str">
        <f>U12組合せ!I42</f>
        <v>C258</v>
      </c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95"/>
      <c r="X323" s="95"/>
      <c r="Y323" s="95"/>
      <c r="Z323" s="95"/>
      <c r="AA323" s="95"/>
      <c r="AB323" s="95"/>
      <c r="AC323" s="95"/>
      <c r="AR323" s="96">
        <v>89</v>
      </c>
    </row>
    <row r="324" spans="1:45" ht="30" customHeight="1" x14ac:dyDescent="0.4">
      <c r="C324" s="637">
        <v>1</v>
      </c>
      <c r="D324" s="637"/>
      <c r="E324" s="584" t="str">
        <f>VLOOKUP(C324,U12組合せ!B$10:K$19,7,TRUE)</f>
        <v>FCアリーバ</v>
      </c>
      <c r="F324" s="584"/>
      <c r="G324" s="584"/>
      <c r="H324" s="584"/>
      <c r="I324" s="584"/>
      <c r="J324" s="584"/>
      <c r="K324" s="584"/>
      <c r="L324" s="584"/>
      <c r="M324" s="584"/>
      <c r="N324" s="584"/>
      <c r="O324" s="94"/>
      <c r="P324" s="94"/>
      <c r="Q324" s="637">
        <v>4</v>
      </c>
      <c r="R324" s="637"/>
      <c r="S324" s="584" t="str">
        <f>VLOOKUP(Q324,U12組合せ!B$10:K$19,7,TRUE)</f>
        <v>ともぞうSC　U11</v>
      </c>
      <c r="T324" s="584"/>
      <c r="U324" s="584"/>
      <c r="V324" s="584"/>
      <c r="W324" s="584"/>
      <c r="X324" s="584"/>
      <c r="Y324" s="584"/>
      <c r="Z324" s="584"/>
      <c r="AA324" s="584"/>
      <c r="AB324" s="584"/>
      <c r="AC324" s="92"/>
      <c r="AD324" s="93"/>
      <c r="AE324" s="637">
        <v>7</v>
      </c>
      <c r="AF324" s="637"/>
      <c r="AG324" s="584" t="str">
        <f>VLOOKUP(AE324,U12組合せ!B$10:'U12組合せ'!K$19,7,TRUE)</f>
        <v>雀宮FC</v>
      </c>
      <c r="AH324" s="584"/>
      <c r="AI324" s="584"/>
      <c r="AJ324" s="584"/>
      <c r="AK324" s="584"/>
      <c r="AL324" s="584"/>
      <c r="AM324" s="584"/>
      <c r="AN324" s="584"/>
      <c r="AO324" s="584"/>
      <c r="AP324" s="584"/>
      <c r="AR324" s="96">
        <f>AR322-AR323</f>
        <v>77</v>
      </c>
    </row>
    <row r="325" spans="1:45" ht="30" customHeight="1" x14ac:dyDescent="0.4">
      <c r="C325" s="636">
        <v>2</v>
      </c>
      <c r="D325" s="636"/>
      <c r="E325" s="709" t="str">
        <f>VLOOKUP(C325,U12組合せ!B$10:K$19,7,TRUE)</f>
        <v>カテット白沢SS</v>
      </c>
      <c r="F325" s="709"/>
      <c r="G325" s="709"/>
      <c r="H325" s="709"/>
      <c r="I325" s="709"/>
      <c r="J325" s="709"/>
      <c r="K325" s="709"/>
      <c r="L325" s="709"/>
      <c r="M325" s="709"/>
      <c r="N325" s="709"/>
      <c r="O325" s="94"/>
      <c r="P325" s="94"/>
      <c r="Q325" s="636">
        <v>5</v>
      </c>
      <c r="R325" s="636"/>
      <c r="S325" s="709" t="str">
        <f>VLOOKUP(Q325,U12組合せ!B$10:K$19,7,TRUE)</f>
        <v>豊郷JFC宇都宮U-12</v>
      </c>
      <c r="T325" s="709"/>
      <c r="U325" s="709"/>
      <c r="V325" s="709"/>
      <c r="W325" s="709"/>
      <c r="X325" s="709"/>
      <c r="Y325" s="709"/>
      <c r="Z325" s="709"/>
      <c r="AA325" s="709"/>
      <c r="AB325" s="709"/>
      <c r="AC325" s="92"/>
      <c r="AD325" s="93"/>
      <c r="AE325" s="636">
        <v>8</v>
      </c>
      <c r="AF325" s="636"/>
      <c r="AG325" s="709" t="str">
        <f>VLOOKUP(AE325,U12組合せ!B$10:'U12組合せ'!K$19,7,TRUE)</f>
        <v>FCみらいP</v>
      </c>
      <c r="AH325" s="709"/>
      <c r="AI325" s="709"/>
      <c r="AJ325" s="709"/>
      <c r="AK325" s="709"/>
      <c r="AL325" s="709"/>
      <c r="AM325" s="709"/>
      <c r="AN325" s="709"/>
      <c r="AO325" s="709"/>
      <c r="AP325" s="709"/>
    </row>
    <row r="326" spans="1:45" ht="30" customHeight="1" x14ac:dyDescent="0.4">
      <c r="C326" s="710">
        <v>3</v>
      </c>
      <c r="D326" s="710"/>
      <c r="E326" s="638" t="str">
        <f>VLOOKUP(C326,U12組合せ!B$10:K$19,7,TRUE)</f>
        <v>リフレSCチェルビアット</v>
      </c>
      <c r="F326" s="638"/>
      <c r="G326" s="638"/>
      <c r="H326" s="638"/>
      <c r="I326" s="638"/>
      <c r="J326" s="638"/>
      <c r="K326" s="638"/>
      <c r="L326" s="638"/>
      <c r="M326" s="638"/>
      <c r="N326" s="638"/>
      <c r="O326" s="94"/>
      <c r="P326" s="94"/>
      <c r="Q326" s="710">
        <v>6</v>
      </c>
      <c r="R326" s="710"/>
      <c r="S326" s="638" t="str">
        <f>VLOOKUP(Q326,U12組合せ!B$10:K$19,7,TRUE)</f>
        <v>シャルムグランツSC</v>
      </c>
      <c r="T326" s="638"/>
      <c r="U326" s="638"/>
      <c r="V326" s="638"/>
      <c r="W326" s="638"/>
      <c r="X326" s="638"/>
      <c r="Y326" s="638"/>
      <c r="Z326" s="638"/>
      <c r="AA326" s="638"/>
      <c r="AB326" s="638"/>
      <c r="AC326" s="92"/>
      <c r="AD326" s="93"/>
      <c r="AE326" s="710">
        <v>9</v>
      </c>
      <c r="AF326" s="710"/>
      <c r="AG326" s="638" t="str">
        <f>VLOOKUP(AE326,U12組合せ!B$10:'U12組合せ'!K$19,7,TRUE)</f>
        <v>みはらSC jr</v>
      </c>
      <c r="AH326" s="638"/>
      <c r="AI326" s="638"/>
      <c r="AJ326" s="638"/>
      <c r="AK326" s="638"/>
      <c r="AL326" s="638"/>
      <c r="AM326" s="638"/>
      <c r="AN326" s="638"/>
      <c r="AO326" s="638"/>
      <c r="AP326" s="638"/>
    </row>
    <row r="327" spans="1:45" ht="11.25" customHeight="1" x14ac:dyDescent="0.4">
      <c r="C327" s="121"/>
      <c r="D327" s="121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94"/>
      <c r="P327" s="94"/>
      <c r="Q327" s="123"/>
      <c r="R327" s="123"/>
      <c r="S327" s="124"/>
      <c r="T327" s="124"/>
      <c r="U327" s="124"/>
      <c r="V327" s="124"/>
      <c r="W327" s="124"/>
      <c r="X327" s="124"/>
      <c r="Y327" s="124"/>
      <c r="Z327" s="124"/>
      <c r="AA327" s="124"/>
      <c r="AB327" s="124"/>
      <c r="AC327" s="92"/>
      <c r="AD327" s="93"/>
      <c r="AE327" s="123"/>
      <c r="AF327" s="123"/>
      <c r="AG327" s="124"/>
      <c r="AH327" s="124"/>
      <c r="AI327" s="124"/>
      <c r="AJ327" s="124"/>
      <c r="AK327" s="124"/>
      <c r="AL327" s="124"/>
      <c r="AM327" s="124"/>
      <c r="AN327" s="124"/>
      <c r="AO327" s="124"/>
      <c r="AP327" s="124"/>
    </row>
    <row r="328" spans="1:45" ht="9" customHeight="1" x14ac:dyDescent="0.4">
      <c r="B328" s="102"/>
      <c r="O328" s="102"/>
      <c r="P328" s="102"/>
      <c r="AC328" s="95"/>
      <c r="AD328" s="102"/>
      <c r="AE328" s="102"/>
      <c r="AF328" s="102"/>
      <c r="AG328" s="102"/>
    </row>
    <row r="329" spans="1:45" ht="12" customHeight="1" x14ac:dyDescent="0.4">
      <c r="C329" s="117"/>
      <c r="D329" s="118"/>
      <c r="E329" s="118"/>
      <c r="F329" s="118"/>
      <c r="G329" s="118"/>
      <c r="H329" s="118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18"/>
      <c r="U329" s="102"/>
      <c r="V329" s="118"/>
      <c r="W329" s="102"/>
      <c r="X329" s="118"/>
      <c r="Y329" s="102"/>
      <c r="Z329" s="118"/>
      <c r="AA329" s="102"/>
      <c r="AB329" s="118"/>
      <c r="AC329" s="118"/>
    </row>
    <row r="330" spans="1:45" ht="21.75" customHeight="1" x14ac:dyDescent="0.4">
      <c r="B330" s="118" t="str">
        <f ca="1">IF(B332="①","【監督会議 8：20～】","【監督会議 12：50～】")</f>
        <v>【監督会議 8：20～】</v>
      </c>
      <c r="I330" s="96" t="s">
        <v>330</v>
      </c>
    </row>
    <row r="331" spans="1:45" ht="19.5" customHeight="1" x14ac:dyDescent="0.4">
      <c r="B331" s="97"/>
      <c r="C331" s="711" t="s">
        <v>3</v>
      </c>
      <c r="D331" s="711"/>
      <c r="E331" s="711"/>
      <c r="F331" s="712" t="s">
        <v>4</v>
      </c>
      <c r="G331" s="712"/>
      <c r="H331" s="712"/>
      <c r="I331" s="712"/>
      <c r="J331" s="711" t="s">
        <v>5</v>
      </c>
      <c r="K331" s="713"/>
      <c r="L331" s="713"/>
      <c r="M331" s="713"/>
      <c r="N331" s="713"/>
      <c r="O331" s="713"/>
      <c r="P331" s="713"/>
      <c r="Q331" s="711" t="s">
        <v>32</v>
      </c>
      <c r="R331" s="711"/>
      <c r="S331" s="711"/>
      <c r="T331" s="711"/>
      <c r="U331" s="711"/>
      <c r="V331" s="711"/>
      <c r="W331" s="711"/>
      <c r="X331" s="711" t="s">
        <v>5</v>
      </c>
      <c r="Y331" s="713"/>
      <c r="Z331" s="713"/>
      <c r="AA331" s="713"/>
      <c r="AB331" s="713"/>
      <c r="AC331" s="713"/>
      <c r="AD331" s="713"/>
      <c r="AE331" s="712" t="s">
        <v>4</v>
      </c>
      <c r="AF331" s="712"/>
      <c r="AG331" s="712"/>
      <c r="AH331" s="712"/>
      <c r="AI331" s="711" t="s">
        <v>6</v>
      </c>
      <c r="AJ331" s="711"/>
      <c r="AK331" s="713"/>
      <c r="AL331" s="713"/>
      <c r="AM331" s="713"/>
      <c r="AN331" s="713"/>
      <c r="AO331" s="713"/>
      <c r="AP331" s="713"/>
    </row>
    <row r="332" spans="1:45" ht="19.5" customHeight="1" x14ac:dyDescent="0.4">
      <c r="B332" s="644" t="str">
        <f ca="1">DBCS(INDIRECT("U12対戦スケジュール!m"&amp;(ROW())/2-AR$324))</f>
        <v>①</v>
      </c>
      <c r="C332" s="645">
        <f ca="1">INDIRECT("U12対戦スケジュール!n"&amp;(ROW())/2-AR$324)</f>
        <v>0.375</v>
      </c>
      <c r="D332" s="646"/>
      <c r="E332" s="647"/>
      <c r="F332" s="583"/>
      <c r="G332" s="583"/>
      <c r="H332" s="583"/>
      <c r="I332" s="583"/>
      <c r="J332" s="746" t="str">
        <f ca="1">VLOOKUP(AR332,U12組合せ!B$10:K$19,7,TRUE)</f>
        <v>カテット白沢SS</v>
      </c>
      <c r="K332" s="747"/>
      <c r="L332" s="747"/>
      <c r="M332" s="747"/>
      <c r="N332" s="747"/>
      <c r="O332" s="747"/>
      <c r="P332" s="747"/>
      <c r="Q332" s="628" t="str">
        <f>IF(OR(S332="",S333=""),"",S332+S333)</f>
        <v/>
      </c>
      <c r="R332" s="630"/>
      <c r="S332" s="100"/>
      <c r="T332" s="101" t="s">
        <v>7</v>
      </c>
      <c r="U332" s="100"/>
      <c r="V332" s="628" t="str">
        <f>IF(OR(U332="",U333=""),"",U332+U333)</f>
        <v/>
      </c>
      <c r="W332" s="630"/>
      <c r="X332" s="746" t="str">
        <f ca="1">VLOOKUP(AS332,U12組合せ!B$10:K$19,7,TRUE)</f>
        <v>豊郷JFC宇都宮U-12</v>
      </c>
      <c r="Y332" s="747"/>
      <c r="Z332" s="747"/>
      <c r="AA332" s="747"/>
      <c r="AB332" s="747"/>
      <c r="AC332" s="747"/>
      <c r="AD332" s="747"/>
      <c r="AE332" s="583"/>
      <c r="AF332" s="583"/>
      <c r="AG332" s="583"/>
      <c r="AH332" s="583"/>
      <c r="AI332" s="758" t="str">
        <f ca="1">DBCS(INDIRECT("U12対戦スケジュール!r"&amp;(ROW())/2-AR$324))</f>
        <v>Ｃ８／Ｃ３／Ｃ６／Ｃ８</v>
      </c>
      <c r="AJ332" s="759"/>
      <c r="AK332" s="759"/>
      <c r="AL332" s="759"/>
      <c r="AM332" s="759"/>
      <c r="AN332" s="759"/>
      <c r="AO332" s="759"/>
      <c r="AP332" s="760"/>
      <c r="AR332" s="119">
        <f ca="1">INDIRECT("U12対戦スケジュール!o"&amp;(ROW())/2-AR$324)</f>
        <v>2</v>
      </c>
      <c r="AS332" s="119">
        <f ca="1">INDIRECT("U12対戦スケジュール!q"&amp;(ROW())/2-AR$324)</f>
        <v>5</v>
      </c>
    </row>
    <row r="333" spans="1:45" ht="19.5" customHeight="1" x14ac:dyDescent="0.4">
      <c r="B333" s="644"/>
      <c r="C333" s="648"/>
      <c r="D333" s="649"/>
      <c r="E333" s="650"/>
      <c r="F333" s="583"/>
      <c r="G333" s="583"/>
      <c r="H333" s="583"/>
      <c r="I333" s="583"/>
      <c r="J333" s="747"/>
      <c r="K333" s="747"/>
      <c r="L333" s="747"/>
      <c r="M333" s="747"/>
      <c r="N333" s="747"/>
      <c r="O333" s="747"/>
      <c r="P333" s="747"/>
      <c r="Q333" s="631"/>
      <c r="R333" s="633"/>
      <c r="S333" s="100"/>
      <c r="T333" s="101" t="s">
        <v>7</v>
      </c>
      <c r="U333" s="100"/>
      <c r="V333" s="631"/>
      <c r="W333" s="633"/>
      <c r="X333" s="747"/>
      <c r="Y333" s="747"/>
      <c r="Z333" s="747"/>
      <c r="AA333" s="747"/>
      <c r="AB333" s="747"/>
      <c r="AC333" s="747"/>
      <c r="AD333" s="747"/>
      <c r="AE333" s="583"/>
      <c r="AF333" s="583"/>
      <c r="AG333" s="583"/>
      <c r="AH333" s="583"/>
      <c r="AI333" s="761"/>
      <c r="AJ333" s="762"/>
      <c r="AK333" s="762"/>
      <c r="AL333" s="762"/>
      <c r="AM333" s="762"/>
      <c r="AN333" s="762"/>
      <c r="AO333" s="762"/>
      <c r="AP333" s="763"/>
      <c r="AR333" s="119"/>
      <c r="AS333" s="119"/>
    </row>
    <row r="334" spans="1:45" ht="19.5" customHeight="1" x14ac:dyDescent="0.4">
      <c r="B334" s="644" t="str">
        <f t="shared" ref="B334" ca="1" si="22">DBCS(INDIRECT("U12対戦スケジュール!m"&amp;(ROW())/2-AR$324))</f>
        <v>②</v>
      </c>
      <c r="C334" s="645">
        <f t="shared" ref="C334" ca="1" si="23">INDIRECT("U12対戦スケジュール!n"&amp;(ROW())/2-AR$324)</f>
        <v>0.41699999999999998</v>
      </c>
      <c r="D334" s="646"/>
      <c r="E334" s="647"/>
      <c r="F334" s="583"/>
      <c r="G334" s="583"/>
      <c r="H334" s="583"/>
      <c r="I334" s="583"/>
      <c r="J334" s="746" t="str">
        <f ca="1">VLOOKUP(AR334,U12組合せ!B$10:K$19,7,TRUE)</f>
        <v>FCみらいP</v>
      </c>
      <c r="K334" s="747"/>
      <c r="L334" s="747"/>
      <c r="M334" s="747"/>
      <c r="N334" s="747"/>
      <c r="O334" s="747"/>
      <c r="P334" s="747"/>
      <c r="Q334" s="634" t="str">
        <f>IF(OR(S334="",S335=""),"",S334+S335)</f>
        <v/>
      </c>
      <c r="R334" s="634"/>
      <c r="S334" s="100"/>
      <c r="T334" s="101" t="s">
        <v>7</v>
      </c>
      <c r="U334" s="100"/>
      <c r="V334" s="634" t="str">
        <f>IF(OR(U334="",U335=""),"",U334+U335)</f>
        <v/>
      </c>
      <c r="W334" s="634"/>
      <c r="X334" s="746" t="str">
        <f ca="1">VLOOKUP(AS334,U12組合せ!B$10:K$19,7,TRUE)</f>
        <v>カテット白沢SS</v>
      </c>
      <c r="Y334" s="747"/>
      <c r="Z334" s="747"/>
      <c r="AA334" s="747"/>
      <c r="AB334" s="747"/>
      <c r="AC334" s="747"/>
      <c r="AD334" s="747"/>
      <c r="AE334" s="583"/>
      <c r="AF334" s="583"/>
      <c r="AG334" s="583"/>
      <c r="AH334" s="583"/>
      <c r="AI334" s="758" t="str">
        <f ca="1">DBCS(INDIRECT("U12対戦スケジュール!r"&amp;(ROW())/2-AR$324))</f>
        <v>Ｃ５／Ｃ９／Ｃ３／Ｃ５</v>
      </c>
      <c r="AJ334" s="759"/>
      <c r="AK334" s="759"/>
      <c r="AL334" s="759"/>
      <c r="AM334" s="759"/>
      <c r="AN334" s="759"/>
      <c r="AO334" s="759"/>
      <c r="AP334" s="760"/>
      <c r="AR334" s="119">
        <f ca="1">INDIRECT("U12対戦スケジュール!o"&amp;(ROW())/2-AR$324)</f>
        <v>8</v>
      </c>
      <c r="AS334" s="119">
        <f ca="1">INDIRECT("U12対戦スケジュール!q"&amp;(ROW())/2-AR$324)</f>
        <v>2</v>
      </c>
    </row>
    <row r="335" spans="1:45" ht="19.5" customHeight="1" x14ac:dyDescent="0.4">
      <c r="B335" s="644"/>
      <c r="C335" s="648"/>
      <c r="D335" s="649"/>
      <c r="E335" s="650"/>
      <c r="F335" s="583"/>
      <c r="G335" s="583"/>
      <c r="H335" s="583"/>
      <c r="I335" s="583"/>
      <c r="J335" s="747"/>
      <c r="K335" s="747"/>
      <c r="L335" s="747"/>
      <c r="M335" s="747"/>
      <c r="N335" s="747"/>
      <c r="O335" s="747"/>
      <c r="P335" s="747"/>
      <c r="Q335" s="634"/>
      <c r="R335" s="634"/>
      <c r="S335" s="100"/>
      <c r="T335" s="101" t="s">
        <v>7</v>
      </c>
      <c r="U335" s="100"/>
      <c r="V335" s="634"/>
      <c r="W335" s="634"/>
      <c r="X335" s="747"/>
      <c r="Y335" s="747"/>
      <c r="Z335" s="747"/>
      <c r="AA335" s="747"/>
      <c r="AB335" s="747"/>
      <c r="AC335" s="747"/>
      <c r="AD335" s="747"/>
      <c r="AE335" s="583"/>
      <c r="AF335" s="583"/>
      <c r="AG335" s="583"/>
      <c r="AH335" s="583"/>
      <c r="AI335" s="761"/>
      <c r="AJ335" s="762"/>
      <c r="AK335" s="762"/>
      <c r="AL335" s="762"/>
      <c r="AM335" s="762"/>
      <c r="AN335" s="762"/>
      <c r="AO335" s="762"/>
      <c r="AP335" s="763"/>
      <c r="AR335" s="119"/>
      <c r="AS335" s="119"/>
    </row>
    <row r="336" spans="1:45" ht="19.5" customHeight="1" x14ac:dyDescent="0.4">
      <c r="B336" s="644" t="str">
        <f t="shared" ref="B336" ca="1" si="24">DBCS(INDIRECT("U12対戦スケジュール!m"&amp;(ROW())/2-AR$324))</f>
        <v>③</v>
      </c>
      <c r="C336" s="645">
        <f t="shared" ref="C336" ca="1" si="25">INDIRECT("U12対戦スケジュール!n"&amp;(ROW())/2-AR$324)</f>
        <v>0.45899999999999996</v>
      </c>
      <c r="D336" s="646"/>
      <c r="E336" s="647"/>
      <c r="F336" s="583"/>
      <c r="G336" s="583"/>
      <c r="H336" s="583"/>
      <c r="I336" s="583"/>
      <c r="J336" s="746"/>
      <c r="K336" s="747"/>
      <c r="L336" s="747"/>
      <c r="M336" s="747"/>
      <c r="N336" s="747"/>
      <c r="O336" s="747"/>
      <c r="P336" s="747"/>
      <c r="Q336" s="628"/>
      <c r="R336" s="630"/>
      <c r="S336" s="100"/>
      <c r="T336" s="101"/>
      <c r="U336" s="100"/>
      <c r="V336" s="628"/>
      <c r="W336" s="630"/>
      <c r="X336" s="796"/>
      <c r="Y336" s="797"/>
      <c r="Z336" s="797"/>
      <c r="AA336" s="797"/>
      <c r="AB336" s="797"/>
      <c r="AC336" s="797"/>
      <c r="AD336" s="798"/>
      <c r="AE336" s="583"/>
      <c r="AF336" s="583"/>
      <c r="AG336" s="583"/>
      <c r="AH336" s="583"/>
      <c r="AI336" s="758" t="str">
        <f ca="1">DBCS(INDIRECT("U12対戦スケジュール!r"&amp;(ROW())/2-AR$228))</f>
        <v/>
      </c>
      <c r="AJ336" s="759"/>
      <c r="AK336" s="759"/>
      <c r="AL336" s="759"/>
      <c r="AM336" s="759"/>
      <c r="AN336" s="759"/>
      <c r="AO336" s="759"/>
      <c r="AP336" s="760"/>
      <c r="AR336" s="119"/>
      <c r="AS336" s="119"/>
    </row>
    <row r="337" spans="1:45" ht="19.5" customHeight="1" x14ac:dyDescent="0.4">
      <c r="B337" s="644"/>
      <c r="C337" s="648"/>
      <c r="D337" s="649"/>
      <c r="E337" s="650"/>
      <c r="F337" s="583"/>
      <c r="G337" s="583"/>
      <c r="H337" s="583"/>
      <c r="I337" s="583"/>
      <c r="J337" s="747"/>
      <c r="K337" s="747"/>
      <c r="L337" s="747"/>
      <c r="M337" s="747"/>
      <c r="N337" s="747"/>
      <c r="O337" s="747"/>
      <c r="P337" s="747"/>
      <c r="Q337" s="631"/>
      <c r="R337" s="633"/>
      <c r="S337" s="100"/>
      <c r="T337" s="101"/>
      <c r="U337" s="100"/>
      <c r="V337" s="631"/>
      <c r="W337" s="633"/>
      <c r="X337" s="799"/>
      <c r="Y337" s="800"/>
      <c r="Z337" s="800"/>
      <c r="AA337" s="800"/>
      <c r="AB337" s="800"/>
      <c r="AC337" s="800"/>
      <c r="AD337" s="801"/>
      <c r="AE337" s="583"/>
      <c r="AF337" s="583"/>
      <c r="AG337" s="583"/>
      <c r="AH337" s="583"/>
      <c r="AI337" s="761"/>
      <c r="AJ337" s="762"/>
      <c r="AK337" s="762"/>
      <c r="AL337" s="762"/>
      <c r="AM337" s="762"/>
      <c r="AN337" s="762"/>
      <c r="AO337" s="762"/>
      <c r="AP337" s="763"/>
      <c r="AR337" s="119"/>
      <c r="AS337" s="119"/>
    </row>
    <row r="338" spans="1:45" ht="19.5" customHeight="1" x14ac:dyDescent="0.4">
      <c r="B338" s="586"/>
      <c r="C338" s="739"/>
      <c r="D338" s="740"/>
      <c r="E338" s="741"/>
      <c r="F338" s="704"/>
      <c r="G338" s="704"/>
      <c r="H338" s="704"/>
      <c r="I338" s="704"/>
      <c r="J338" s="701"/>
      <c r="K338" s="702"/>
      <c r="L338" s="702"/>
      <c r="M338" s="702"/>
      <c r="N338" s="702"/>
      <c r="O338" s="702"/>
      <c r="P338" s="702"/>
      <c r="Q338" s="705"/>
      <c r="R338" s="705"/>
      <c r="S338" s="109"/>
      <c r="T338" s="110"/>
      <c r="U338" s="109"/>
      <c r="V338" s="705"/>
      <c r="W338" s="705"/>
      <c r="X338" s="701"/>
      <c r="Y338" s="702"/>
      <c r="Z338" s="702"/>
      <c r="AA338" s="702"/>
      <c r="AB338" s="702"/>
      <c r="AC338" s="702"/>
      <c r="AD338" s="702"/>
      <c r="AE338" s="704"/>
      <c r="AF338" s="704"/>
      <c r="AG338" s="704"/>
      <c r="AH338" s="704"/>
      <c r="AI338" s="706"/>
      <c r="AJ338" s="707"/>
      <c r="AK338" s="707"/>
      <c r="AL338" s="707"/>
      <c r="AM338" s="707"/>
      <c r="AN338" s="707"/>
      <c r="AO338" s="707"/>
      <c r="AP338" s="707"/>
      <c r="AR338" s="119"/>
      <c r="AS338" s="119"/>
    </row>
    <row r="339" spans="1:45" ht="19.5" customHeight="1" x14ac:dyDescent="0.4">
      <c r="B339" s="644"/>
      <c r="C339" s="648"/>
      <c r="D339" s="649"/>
      <c r="E339" s="650"/>
      <c r="F339" s="583"/>
      <c r="G339" s="583"/>
      <c r="H339" s="583"/>
      <c r="I339" s="583"/>
      <c r="J339" s="703"/>
      <c r="K339" s="703"/>
      <c r="L339" s="703"/>
      <c r="M339" s="703"/>
      <c r="N339" s="703"/>
      <c r="O339" s="703"/>
      <c r="P339" s="703"/>
      <c r="Q339" s="634"/>
      <c r="R339" s="634"/>
      <c r="S339" s="100"/>
      <c r="T339" s="101"/>
      <c r="U339" s="100"/>
      <c r="V339" s="634"/>
      <c r="W339" s="634"/>
      <c r="X339" s="703"/>
      <c r="Y339" s="703"/>
      <c r="Z339" s="703"/>
      <c r="AA339" s="703"/>
      <c r="AB339" s="703"/>
      <c r="AC339" s="703"/>
      <c r="AD339" s="703"/>
      <c r="AE339" s="583"/>
      <c r="AF339" s="583"/>
      <c r="AG339" s="583"/>
      <c r="AH339" s="583"/>
      <c r="AI339" s="708"/>
      <c r="AJ339" s="708"/>
      <c r="AK339" s="708"/>
      <c r="AL339" s="708"/>
      <c r="AM339" s="708"/>
      <c r="AN339" s="708"/>
      <c r="AO339" s="708"/>
      <c r="AP339" s="708"/>
      <c r="AR339" s="119"/>
      <c r="AS339" s="119"/>
    </row>
    <row r="340" spans="1:45" ht="19.5" customHeight="1" x14ac:dyDescent="0.4">
      <c r="B340" s="585"/>
      <c r="C340" s="587"/>
      <c r="D340" s="588"/>
      <c r="E340" s="589"/>
      <c r="F340" s="622"/>
      <c r="G340" s="623"/>
      <c r="H340" s="623"/>
      <c r="I340" s="624"/>
      <c r="J340" s="689"/>
      <c r="K340" s="690"/>
      <c r="L340" s="690"/>
      <c r="M340" s="690"/>
      <c r="N340" s="690"/>
      <c r="O340" s="690"/>
      <c r="P340" s="691"/>
      <c r="Q340" s="628"/>
      <c r="R340" s="630"/>
      <c r="S340" s="100"/>
      <c r="T340" s="101"/>
      <c r="U340" s="100"/>
      <c r="V340" s="628"/>
      <c r="W340" s="630"/>
      <c r="X340" s="695"/>
      <c r="Y340" s="696"/>
      <c r="Z340" s="696"/>
      <c r="AA340" s="696"/>
      <c r="AB340" s="696"/>
      <c r="AC340" s="696"/>
      <c r="AD340" s="697"/>
      <c r="AE340" s="622"/>
      <c r="AF340" s="623"/>
      <c r="AG340" s="623"/>
      <c r="AH340" s="624"/>
      <c r="AI340" s="628"/>
      <c r="AJ340" s="629"/>
      <c r="AK340" s="629"/>
      <c r="AL340" s="629"/>
      <c r="AM340" s="629"/>
      <c r="AN340" s="629"/>
      <c r="AO340" s="629"/>
      <c r="AP340" s="630"/>
    </row>
    <row r="341" spans="1:45" ht="19.5" customHeight="1" x14ac:dyDescent="0.4">
      <c r="B341" s="586"/>
      <c r="C341" s="590"/>
      <c r="D341" s="591"/>
      <c r="E341" s="592"/>
      <c r="F341" s="625"/>
      <c r="G341" s="626"/>
      <c r="H341" s="626"/>
      <c r="I341" s="627"/>
      <c r="J341" s="692"/>
      <c r="K341" s="693"/>
      <c r="L341" s="693"/>
      <c r="M341" s="693"/>
      <c r="N341" s="693"/>
      <c r="O341" s="693"/>
      <c r="P341" s="694"/>
      <c r="Q341" s="631"/>
      <c r="R341" s="633"/>
      <c r="S341" s="100"/>
      <c r="T341" s="101"/>
      <c r="U341" s="100"/>
      <c r="V341" s="631"/>
      <c r="W341" s="633"/>
      <c r="X341" s="698"/>
      <c r="Y341" s="699"/>
      <c r="Z341" s="699"/>
      <c r="AA341" s="699"/>
      <c r="AB341" s="699"/>
      <c r="AC341" s="699"/>
      <c r="AD341" s="700"/>
      <c r="AE341" s="625"/>
      <c r="AF341" s="626"/>
      <c r="AG341" s="626"/>
      <c r="AH341" s="627"/>
      <c r="AI341" s="631"/>
      <c r="AJ341" s="632"/>
      <c r="AK341" s="632"/>
      <c r="AL341" s="632"/>
      <c r="AM341" s="632"/>
      <c r="AN341" s="632"/>
      <c r="AO341" s="632"/>
      <c r="AP341" s="633"/>
    </row>
    <row r="342" spans="1:45" ht="19.5" customHeight="1" x14ac:dyDescent="0.4">
      <c r="B342" s="585"/>
      <c r="C342" s="587"/>
      <c r="D342" s="588"/>
      <c r="E342" s="589"/>
      <c r="F342" s="622"/>
      <c r="G342" s="623"/>
      <c r="H342" s="623"/>
      <c r="I342" s="624"/>
      <c r="J342" s="689"/>
      <c r="K342" s="690"/>
      <c r="L342" s="690"/>
      <c r="M342" s="690"/>
      <c r="N342" s="690"/>
      <c r="O342" s="690"/>
      <c r="P342" s="691"/>
      <c r="Q342" s="628"/>
      <c r="R342" s="630"/>
      <c r="S342" s="100"/>
      <c r="T342" s="101"/>
      <c r="U342" s="100"/>
      <c r="V342" s="628"/>
      <c r="W342" s="630"/>
      <c r="X342" s="695"/>
      <c r="Y342" s="696"/>
      <c r="Z342" s="696"/>
      <c r="AA342" s="696"/>
      <c r="AB342" s="696"/>
      <c r="AC342" s="696"/>
      <c r="AD342" s="697"/>
      <c r="AE342" s="622"/>
      <c r="AF342" s="623"/>
      <c r="AG342" s="623"/>
      <c r="AH342" s="624"/>
      <c r="AI342" s="628"/>
      <c r="AJ342" s="629"/>
      <c r="AK342" s="629"/>
      <c r="AL342" s="629"/>
      <c r="AM342" s="629"/>
      <c r="AN342" s="629"/>
      <c r="AO342" s="629"/>
      <c r="AP342" s="630"/>
    </row>
    <row r="343" spans="1:45" ht="19.5" customHeight="1" x14ac:dyDescent="0.4">
      <c r="B343" s="586"/>
      <c r="C343" s="590"/>
      <c r="D343" s="591"/>
      <c r="E343" s="592"/>
      <c r="F343" s="625"/>
      <c r="G343" s="626"/>
      <c r="H343" s="626"/>
      <c r="I343" s="627"/>
      <c r="J343" s="692"/>
      <c r="K343" s="693"/>
      <c r="L343" s="693"/>
      <c r="M343" s="693"/>
      <c r="N343" s="693"/>
      <c r="O343" s="693"/>
      <c r="P343" s="694"/>
      <c r="Q343" s="631"/>
      <c r="R343" s="633"/>
      <c r="S343" s="100"/>
      <c r="T343" s="101"/>
      <c r="U343" s="100"/>
      <c r="V343" s="631"/>
      <c r="W343" s="633"/>
      <c r="X343" s="698"/>
      <c r="Y343" s="699"/>
      <c r="Z343" s="699"/>
      <c r="AA343" s="699"/>
      <c r="AB343" s="699"/>
      <c r="AC343" s="699"/>
      <c r="AD343" s="700"/>
      <c r="AE343" s="625"/>
      <c r="AF343" s="626"/>
      <c r="AG343" s="626"/>
      <c r="AH343" s="627"/>
      <c r="AI343" s="631"/>
      <c r="AJ343" s="632"/>
      <c r="AK343" s="632"/>
      <c r="AL343" s="632"/>
      <c r="AM343" s="632"/>
      <c r="AN343" s="632"/>
      <c r="AO343" s="632"/>
      <c r="AP343" s="633"/>
    </row>
    <row r="344" spans="1:45" ht="16.5" x14ac:dyDescent="0.4">
      <c r="B344" s="585"/>
      <c r="C344" s="587"/>
      <c r="D344" s="588"/>
      <c r="E344" s="589"/>
      <c r="F344" s="622"/>
      <c r="G344" s="623"/>
      <c r="H344" s="623"/>
      <c r="I344" s="624"/>
      <c r="J344" s="689"/>
      <c r="K344" s="690"/>
      <c r="L344" s="690"/>
      <c r="M344" s="690"/>
      <c r="N344" s="690"/>
      <c r="O344" s="690"/>
      <c r="P344" s="691"/>
      <c r="Q344" s="628"/>
      <c r="R344" s="630"/>
      <c r="S344" s="100"/>
      <c r="T344" s="101"/>
      <c r="U344" s="100"/>
      <c r="V344" s="628"/>
      <c r="W344" s="630"/>
      <c r="X344" s="695"/>
      <c r="Y344" s="696"/>
      <c r="Z344" s="696"/>
      <c r="AA344" s="696"/>
      <c r="AB344" s="696"/>
      <c r="AC344" s="696"/>
      <c r="AD344" s="697"/>
      <c r="AE344" s="622"/>
      <c r="AF344" s="623"/>
      <c r="AG344" s="623"/>
      <c r="AH344" s="624"/>
      <c r="AI344" s="628"/>
      <c r="AJ344" s="629"/>
      <c r="AK344" s="629"/>
      <c r="AL344" s="629"/>
      <c r="AM344" s="629"/>
      <c r="AN344" s="629"/>
      <c r="AO344" s="629"/>
      <c r="AP344" s="630"/>
    </row>
    <row r="345" spans="1:45" ht="16.5" x14ac:dyDescent="0.4">
      <c r="B345" s="586"/>
      <c r="C345" s="590"/>
      <c r="D345" s="591"/>
      <c r="E345" s="592"/>
      <c r="F345" s="625"/>
      <c r="G345" s="626"/>
      <c r="H345" s="626"/>
      <c r="I345" s="627"/>
      <c r="J345" s="692"/>
      <c r="K345" s="693"/>
      <c r="L345" s="693"/>
      <c r="M345" s="693"/>
      <c r="N345" s="693"/>
      <c r="O345" s="693"/>
      <c r="P345" s="694"/>
      <c r="Q345" s="631"/>
      <c r="R345" s="633"/>
      <c r="S345" s="100"/>
      <c r="T345" s="101"/>
      <c r="U345" s="100"/>
      <c r="V345" s="631"/>
      <c r="W345" s="633"/>
      <c r="X345" s="698"/>
      <c r="Y345" s="699"/>
      <c r="Z345" s="699"/>
      <c r="AA345" s="699"/>
      <c r="AB345" s="699"/>
      <c r="AC345" s="699"/>
      <c r="AD345" s="700"/>
      <c r="AE345" s="625"/>
      <c r="AF345" s="626"/>
      <c r="AG345" s="626"/>
      <c r="AH345" s="627"/>
      <c r="AI345" s="631"/>
      <c r="AJ345" s="632"/>
      <c r="AK345" s="632"/>
      <c r="AL345" s="632"/>
      <c r="AM345" s="632"/>
      <c r="AN345" s="632"/>
      <c r="AO345" s="632"/>
      <c r="AP345" s="633"/>
    </row>
    <row r="346" spans="1:45" ht="20.25" thickBot="1" x14ac:dyDescent="0.45">
      <c r="A346" s="102"/>
      <c r="B346" s="103"/>
      <c r="C346" s="104"/>
      <c r="D346" s="104"/>
      <c r="E346" s="104"/>
      <c r="F346" s="103"/>
      <c r="G346" s="103"/>
      <c r="H346" s="103"/>
      <c r="I346" s="103"/>
      <c r="J346" s="103"/>
      <c r="K346" s="105"/>
      <c r="L346" s="105"/>
      <c r="M346" s="106"/>
      <c r="N346" s="107"/>
      <c r="O346" s="106"/>
      <c r="P346" s="105"/>
      <c r="Q346" s="105"/>
      <c r="R346" s="103"/>
      <c r="S346" s="103"/>
      <c r="T346" s="103"/>
      <c r="U346" s="103"/>
      <c r="V346" s="103"/>
      <c r="W346" s="108"/>
      <c r="X346" s="108"/>
      <c r="Y346" s="108"/>
      <c r="Z346" s="108"/>
      <c r="AA346" s="108"/>
      <c r="AB346" s="108"/>
      <c r="AC346" s="102"/>
    </row>
    <row r="347" spans="1:45" ht="20.25" thickBot="1" x14ac:dyDescent="0.45">
      <c r="D347" s="664" t="s">
        <v>8</v>
      </c>
      <c r="E347" s="665"/>
      <c r="F347" s="665"/>
      <c r="G347" s="665"/>
      <c r="H347" s="665"/>
      <c r="I347" s="666"/>
      <c r="J347" s="667" t="s">
        <v>5</v>
      </c>
      <c r="K347" s="665"/>
      <c r="L347" s="665"/>
      <c r="M347" s="665"/>
      <c r="N347" s="665"/>
      <c r="O347" s="665"/>
      <c r="P347" s="665"/>
      <c r="Q347" s="666"/>
      <c r="R347" s="668" t="s">
        <v>9</v>
      </c>
      <c r="S347" s="669"/>
      <c r="T347" s="669"/>
      <c r="U347" s="669"/>
      <c r="V347" s="669"/>
      <c r="W347" s="669"/>
      <c r="X347" s="669"/>
      <c r="Y347" s="669"/>
      <c r="Z347" s="670"/>
      <c r="AA347" s="609" t="s">
        <v>10</v>
      </c>
      <c r="AB347" s="610"/>
      <c r="AC347" s="671"/>
      <c r="AD347" s="609" t="s">
        <v>11</v>
      </c>
      <c r="AE347" s="610"/>
      <c r="AF347" s="610"/>
      <c r="AG347" s="610"/>
      <c r="AH347" s="610"/>
      <c r="AI347" s="610"/>
      <c r="AJ347" s="610"/>
      <c r="AK347" s="610"/>
      <c r="AL347" s="610"/>
      <c r="AM347" s="611"/>
    </row>
    <row r="348" spans="1:45" ht="28.5" customHeight="1" x14ac:dyDescent="0.4">
      <c r="D348" s="651" t="s">
        <v>298</v>
      </c>
      <c r="E348" s="652"/>
      <c r="F348" s="652"/>
      <c r="G348" s="652"/>
      <c r="H348" s="652"/>
      <c r="I348" s="653"/>
      <c r="J348" s="654"/>
      <c r="K348" s="652"/>
      <c r="L348" s="652"/>
      <c r="M348" s="652"/>
      <c r="N348" s="652"/>
      <c r="O348" s="652"/>
      <c r="P348" s="652"/>
      <c r="Q348" s="653"/>
      <c r="R348" s="655"/>
      <c r="S348" s="656"/>
      <c r="T348" s="656"/>
      <c r="U348" s="656"/>
      <c r="V348" s="656"/>
      <c r="W348" s="656"/>
      <c r="X348" s="656"/>
      <c r="Y348" s="656"/>
      <c r="Z348" s="657"/>
      <c r="AA348" s="658"/>
      <c r="AB348" s="659"/>
      <c r="AC348" s="660"/>
      <c r="AD348" s="661"/>
      <c r="AE348" s="662"/>
      <c r="AF348" s="662"/>
      <c r="AG348" s="662"/>
      <c r="AH348" s="662"/>
      <c r="AI348" s="662"/>
      <c r="AJ348" s="662"/>
      <c r="AK348" s="662"/>
      <c r="AL348" s="662"/>
      <c r="AM348" s="663"/>
    </row>
    <row r="349" spans="1:45" ht="28.5" customHeight="1" x14ac:dyDescent="0.4">
      <c r="D349" s="688" t="s">
        <v>12</v>
      </c>
      <c r="E349" s="604"/>
      <c r="F349" s="604"/>
      <c r="G349" s="604"/>
      <c r="H349" s="604"/>
      <c r="I349" s="605"/>
      <c r="J349" s="603"/>
      <c r="K349" s="604"/>
      <c r="L349" s="604"/>
      <c r="M349" s="604"/>
      <c r="N349" s="604"/>
      <c r="O349" s="604"/>
      <c r="P349" s="604"/>
      <c r="Q349" s="605"/>
      <c r="R349" s="606"/>
      <c r="S349" s="607"/>
      <c r="T349" s="607"/>
      <c r="U349" s="607"/>
      <c r="V349" s="607"/>
      <c r="W349" s="607"/>
      <c r="X349" s="607"/>
      <c r="Y349" s="607"/>
      <c r="Z349" s="608"/>
      <c r="AA349" s="606"/>
      <c r="AB349" s="607"/>
      <c r="AC349" s="608"/>
      <c r="AD349" s="672"/>
      <c r="AE349" s="673"/>
      <c r="AF349" s="673"/>
      <c r="AG349" s="673"/>
      <c r="AH349" s="673"/>
      <c r="AI349" s="673"/>
      <c r="AJ349" s="673"/>
      <c r="AK349" s="673"/>
      <c r="AL349" s="673"/>
      <c r="AM349" s="674"/>
    </row>
    <row r="350" spans="1:45" ht="28.5" customHeight="1" thickBot="1" x14ac:dyDescent="0.45">
      <c r="D350" s="675" t="s">
        <v>12</v>
      </c>
      <c r="E350" s="676"/>
      <c r="F350" s="676"/>
      <c r="G350" s="676"/>
      <c r="H350" s="676"/>
      <c r="I350" s="677"/>
      <c r="J350" s="678"/>
      <c r="K350" s="676"/>
      <c r="L350" s="676"/>
      <c r="M350" s="676"/>
      <c r="N350" s="676"/>
      <c r="O350" s="676"/>
      <c r="P350" s="676"/>
      <c r="Q350" s="677"/>
      <c r="R350" s="679"/>
      <c r="S350" s="680"/>
      <c r="T350" s="680"/>
      <c r="U350" s="680"/>
      <c r="V350" s="680"/>
      <c r="W350" s="680"/>
      <c r="X350" s="680"/>
      <c r="Y350" s="680"/>
      <c r="Z350" s="681"/>
      <c r="AA350" s="682"/>
      <c r="AB350" s="683"/>
      <c r="AC350" s="684"/>
      <c r="AD350" s="685"/>
      <c r="AE350" s="686"/>
      <c r="AF350" s="686"/>
      <c r="AG350" s="686"/>
      <c r="AH350" s="686"/>
      <c r="AI350" s="686"/>
      <c r="AJ350" s="686"/>
      <c r="AK350" s="686"/>
      <c r="AL350" s="686"/>
      <c r="AM350" s="687"/>
    </row>
    <row r="351" spans="1:45" ht="15.75" customHeight="1" x14ac:dyDescent="0.4"/>
    <row r="352" spans="1:45" ht="27.75" customHeight="1" x14ac:dyDescent="0.4">
      <c r="A352" s="115"/>
      <c r="B352" s="599" t="str">
        <f>U12組合せ!$B$1</f>
        <v>ＪＦＡ　Ｕ-１２サッカーリーグ2021（in栃木） 宇都宮地区リーグ戦（前期）</v>
      </c>
      <c r="C352" s="599"/>
      <c r="D352" s="599"/>
      <c r="E352" s="599"/>
      <c r="F352" s="599"/>
      <c r="G352" s="599"/>
      <c r="H352" s="599"/>
      <c r="I352" s="599"/>
      <c r="J352" s="599"/>
      <c r="K352" s="599"/>
      <c r="L352" s="599"/>
      <c r="M352" s="599"/>
      <c r="N352" s="599"/>
      <c r="O352" s="599"/>
      <c r="P352" s="599"/>
      <c r="Q352" s="599"/>
      <c r="R352" s="599"/>
      <c r="S352" s="599"/>
      <c r="T352" s="599"/>
      <c r="U352" s="599"/>
      <c r="V352" s="599"/>
      <c r="W352" s="599"/>
      <c r="X352" s="599"/>
      <c r="Y352" s="599"/>
      <c r="Z352" s="599"/>
      <c r="AA352" s="599"/>
      <c r="AB352" s="599"/>
      <c r="AC352" s="612" t="str">
        <f>"【"&amp;(U12組合せ!$H$3)&amp;"】"</f>
        <v>【Ｃ ブロック】</v>
      </c>
      <c r="AD352" s="612"/>
      <c r="AE352" s="612"/>
      <c r="AF352" s="612"/>
      <c r="AG352" s="612"/>
      <c r="AH352" s="612"/>
      <c r="AI352" s="612"/>
      <c r="AJ352" s="612"/>
      <c r="AK352" s="602" t="str">
        <f>"第"&amp;(U12組合せ!$D$39)</f>
        <v>第４節</v>
      </c>
      <c r="AL352" s="602"/>
      <c r="AM352" s="602"/>
      <c r="AN352" s="602"/>
      <c r="AO352" s="602"/>
      <c r="AP352" s="597" t="s">
        <v>333</v>
      </c>
      <c r="AQ352" s="598"/>
    </row>
    <row r="353" spans="1:45" ht="15" customHeight="1" x14ac:dyDescent="0.4">
      <c r="A353" s="115"/>
      <c r="B353" s="599"/>
      <c r="C353" s="599"/>
      <c r="D353" s="599"/>
      <c r="E353" s="599"/>
      <c r="F353" s="599"/>
      <c r="G353" s="599"/>
      <c r="H353" s="599"/>
      <c r="I353" s="599"/>
      <c r="J353" s="599"/>
      <c r="K353" s="599"/>
      <c r="L353" s="599"/>
      <c r="M353" s="599"/>
      <c r="N353" s="599"/>
      <c r="O353" s="599"/>
      <c r="P353" s="599"/>
      <c r="Q353" s="599"/>
      <c r="R353" s="599"/>
      <c r="S353" s="599"/>
      <c r="T353" s="599"/>
      <c r="U353" s="599"/>
      <c r="V353" s="599"/>
      <c r="W353" s="599"/>
      <c r="X353" s="599"/>
      <c r="Y353" s="599"/>
      <c r="Z353" s="599"/>
      <c r="AA353" s="599"/>
      <c r="AB353" s="599"/>
      <c r="AC353" s="601"/>
      <c r="AD353" s="601"/>
      <c r="AE353" s="601"/>
      <c r="AF353" s="601"/>
      <c r="AG353" s="601"/>
      <c r="AH353" s="601"/>
      <c r="AI353" s="601"/>
      <c r="AJ353" s="601"/>
      <c r="AK353" s="601"/>
      <c r="AL353" s="601"/>
      <c r="AM353" s="601"/>
      <c r="AN353" s="601"/>
      <c r="AO353" s="612"/>
      <c r="AP353" s="598"/>
      <c r="AQ353" s="598"/>
    </row>
    <row r="354" spans="1:45" ht="29.25" customHeight="1" x14ac:dyDescent="0.4">
      <c r="C354" s="635" t="s">
        <v>1</v>
      </c>
      <c r="D354" s="635"/>
      <c r="E354" s="635"/>
      <c r="F354" s="635"/>
      <c r="G354" s="725" t="str">
        <f>U12対戦スケジュール!O94</f>
        <v>GP白沢 南 AM</v>
      </c>
      <c r="H354" s="726"/>
      <c r="I354" s="726"/>
      <c r="J354" s="726"/>
      <c r="K354" s="726"/>
      <c r="L354" s="726"/>
      <c r="M354" s="726"/>
      <c r="N354" s="726"/>
      <c r="O354" s="727"/>
      <c r="P354" s="635" t="s">
        <v>0</v>
      </c>
      <c r="Q354" s="635"/>
      <c r="R354" s="635"/>
      <c r="S354" s="635"/>
      <c r="T354" s="725" t="str">
        <f>AG358</f>
        <v>みはらSC jr</v>
      </c>
      <c r="U354" s="726"/>
      <c r="V354" s="726"/>
      <c r="W354" s="726"/>
      <c r="X354" s="726"/>
      <c r="Y354" s="726"/>
      <c r="Z354" s="726"/>
      <c r="AA354" s="726"/>
      <c r="AB354" s="727"/>
      <c r="AC354" s="635" t="s">
        <v>2</v>
      </c>
      <c r="AD354" s="635"/>
      <c r="AE354" s="635"/>
      <c r="AF354" s="635"/>
      <c r="AG354" s="618">
        <f>U12組合せ!B$39</f>
        <v>44353</v>
      </c>
      <c r="AH354" s="619"/>
      <c r="AI354" s="619"/>
      <c r="AJ354" s="619"/>
      <c r="AK354" s="619"/>
      <c r="AL354" s="619"/>
      <c r="AM354" s="620" t="str">
        <f>"（"&amp;TEXT(AG354,"aaa")&amp;"）"</f>
        <v>（日）</v>
      </c>
      <c r="AN354" s="620"/>
      <c r="AO354" s="621"/>
      <c r="AP354" s="116"/>
      <c r="AR354" s="96">
        <f>364/2</f>
        <v>182</v>
      </c>
    </row>
    <row r="355" spans="1:45" ht="17.25" customHeight="1" x14ac:dyDescent="0.4">
      <c r="C355" s="96" t="str">
        <f>U12組合せ!I44</f>
        <v>C3689</v>
      </c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95"/>
      <c r="X355" s="95"/>
      <c r="Y355" s="95"/>
      <c r="Z355" s="95"/>
      <c r="AA355" s="95"/>
      <c r="AB355" s="95"/>
      <c r="AC355" s="95"/>
      <c r="AR355" s="96">
        <v>96</v>
      </c>
    </row>
    <row r="356" spans="1:45" ht="30.75" customHeight="1" x14ac:dyDescent="0.4">
      <c r="C356" s="637">
        <v>1</v>
      </c>
      <c r="D356" s="637"/>
      <c r="E356" s="584" t="str">
        <f>VLOOKUP(C356,U12組合せ!B$10:K$19,7,TRUE)</f>
        <v>FCアリーバ</v>
      </c>
      <c r="F356" s="584"/>
      <c r="G356" s="584"/>
      <c r="H356" s="584"/>
      <c r="I356" s="584"/>
      <c r="J356" s="584"/>
      <c r="K356" s="584"/>
      <c r="L356" s="584"/>
      <c r="M356" s="584"/>
      <c r="N356" s="584"/>
      <c r="O356" s="94"/>
      <c r="P356" s="94"/>
      <c r="Q356" s="637">
        <v>4</v>
      </c>
      <c r="R356" s="637"/>
      <c r="S356" s="584" t="str">
        <f>VLOOKUP(Q356,U12組合せ!B$10:K$19,7,TRUE)</f>
        <v>ともぞうSC　U11</v>
      </c>
      <c r="T356" s="584"/>
      <c r="U356" s="584"/>
      <c r="V356" s="584"/>
      <c r="W356" s="584"/>
      <c r="X356" s="584"/>
      <c r="Y356" s="584"/>
      <c r="Z356" s="584"/>
      <c r="AA356" s="584"/>
      <c r="AB356" s="584"/>
      <c r="AC356" s="92"/>
      <c r="AD356" s="93"/>
      <c r="AE356" s="637">
        <v>7</v>
      </c>
      <c r="AF356" s="637"/>
      <c r="AG356" s="584" t="str">
        <f>VLOOKUP(AE356,U12組合せ!B$10:'U12組合せ'!K$19,7,TRUE)</f>
        <v>雀宮FC</v>
      </c>
      <c r="AH356" s="584"/>
      <c r="AI356" s="584"/>
      <c r="AJ356" s="584"/>
      <c r="AK356" s="584"/>
      <c r="AL356" s="584"/>
      <c r="AM356" s="584"/>
      <c r="AN356" s="584"/>
      <c r="AO356" s="584"/>
      <c r="AP356" s="584"/>
      <c r="AR356" s="96">
        <f>AR354-AR355</f>
        <v>86</v>
      </c>
    </row>
    <row r="357" spans="1:45" ht="30.75" customHeight="1" x14ac:dyDescent="0.4">
      <c r="C357" s="710">
        <v>2</v>
      </c>
      <c r="D357" s="710"/>
      <c r="E357" s="638" t="str">
        <f>VLOOKUP(C357,U12組合せ!B$10:K$19,7,TRUE)</f>
        <v>カテット白沢SS</v>
      </c>
      <c r="F357" s="638"/>
      <c r="G357" s="638"/>
      <c r="H357" s="638"/>
      <c r="I357" s="638"/>
      <c r="J357" s="638"/>
      <c r="K357" s="638"/>
      <c r="L357" s="638"/>
      <c r="M357" s="638"/>
      <c r="N357" s="638"/>
      <c r="O357" s="94"/>
      <c r="P357" s="94"/>
      <c r="Q357" s="710">
        <v>5</v>
      </c>
      <c r="R357" s="710"/>
      <c r="S357" s="638" t="str">
        <f>VLOOKUP(Q357,U12組合せ!B$10:K$19,7,TRUE)</f>
        <v>豊郷JFC宇都宮U-12</v>
      </c>
      <c r="T357" s="638"/>
      <c r="U357" s="638"/>
      <c r="V357" s="638"/>
      <c r="W357" s="638"/>
      <c r="X357" s="638"/>
      <c r="Y357" s="638"/>
      <c r="Z357" s="638"/>
      <c r="AA357" s="638"/>
      <c r="AB357" s="638"/>
      <c r="AC357" s="92"/>
      <c r="AD357" s="93"/>
      <c r="AE357" s="710">
        <v>8</v>
      </c>
      <c r="AF357" s="710"/>
      <c r="AG357" s="638" t="str">
        <f>VLOOKUP(AE357,U12組合せ!B$10:'U12組合せ'!K$19,7,TRUE)</f>
        <v>FCみらいP</v>
      </c>
      <c r="AH357" s="638"/>
      <c r="AI357" s="638"/>
      <c r="AJ357" s="638"/>
      <c r="AK357" s="638"/>
      <c r="AL357" s="638"/>
      <c r="AM357" s="638"/>
      <c r="AN357" s="638"/>
      <c r="AO357" s="638"/>
      <c r="AP357" s="638"/>
    </row>
    <row r="358" spans="1:45" ht="30.75" customHeight="1" x14ac:dyDescent="0.4">
      <c r="C358" s="636">
        <v>3</v>
      </c>
      <c r="D358" s="636"/>
      <c r="E358" s="709" t="str">
        <f>VLOOKUP(C358,U12組合せ!B$10:K$19,7,TRUE)</f>
        <v>リフレSCチェルビアット</v>
      </c>
      <c r="F358" s="709"/>
      <c r="G358" s="709"/>
      <c r="H358" s="709"/>
      <c r="I358" s="709"/>
      <c r="J358" s="709"/>
      <c r="K358" s="709"/>
      <c r="L358" s="709"/>
      <c r="M358" s="709"/>
      <c r="N358" s="709"/>
      <c r="O358" s="94"/>
      <c r="P358" s="94"/>
      <c r="Q358" s="636">
        <v>6</v>
      </c>
      <c r="R358" s="636"/>
      <c r="S358" s="709" t="str">
        <f>VLOOKUP(Q358,U12組合せ!B$10:K$19,7,TRUE)</f>
        <v>シャルムグランツSC</v>
      </c>
      <c r="T358" s="709"/>
      <c r="U358" s="709"/>
      <c r="V358" s="709"/>
      <c r="W358" s="709"/>
      <c r="X358" s="709"/>
      <c r="Y358" s="709"/>
      <c r="Z358" s="709"/>
      <c r="AA358" s="709"/>
      <c r="AB358" s="709"/>
      <c r="AC358" s="92"/>
      <c r="AD358" s="93"/>
      <c r="AE358" s="636">
        <v>9</v>
      </c>
      <c r="AF358" s="636"/>
      <c r="AG358" s="709" t="str">
        <f>VLOOKUP(AE358,U12組合せ!B$10:'U12組合せ'!K$19,7,TRUE)</f>
        <v>みはらSC jr</v>
      </c>
      <c r="AH358" s="709"/>
      <c r="AI358" s="709"/>
      <c r="AJ358" s="709"/>
      <c r="AK358" s="709"/>
      <c r="AL358" s="709"/>
      <c r="AM358" s="709"/>
      <c r="AN358" s="709"/>
      <c r="AO358" s="709"/>
      <c r="AP358" s="709"/>
    </row>
    <row r="359" spans="1:45" ht="12" customHeight="1" x14ac:dyDescent="0.4">
      <c r="C359" s="121"/>
      <c r="D359" s="121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94"/>
      <c r="P359" s="94"/>
      <c r="Q359" s="123"/>
      <c r="R359" s="123"/>
      <c r="S359" s="124"/>
      <c r="T359" s="124"/>
      <c r="U359" s="124"/>
      <c r="V359" s="124"/>
      <c r="W359" s="124"/>
      <c r="X359" s="124"/>
      <c r="Y359" s="124"/>
      <c r="Z359" s="124"/>
      <c r="AA359" s="124"/>
      <c r="AB359" s="124"/>
      <c r="AC359" s="92"/>
      <c r="AD359" s="93"/>
      <c r="AE359" s="123"/>
      <c r="AF359" s="123"/>
      <c r="AG359" s="124"/>
      <c r="AH359" s="124"/>
      <c r="AI359" s="124"/>
      <c r="AJ359" s="124"/>
      <c r="AK359" s="124"/>
      <c r="AL359" s="124"/>
      <c r="AM359" s="124"/>
      <c r="AN359" s="124"/>
      <c r="AO359" s="124"/>
      <c r="AP359" s="124"/>
    </row>
    <row r="360" spans="1:45" ht="12" customHeight="1" x14ac:dyDescent="0.4">
      <c r="B360" s="102"/>
      <c r="O360" s="102"/>
      <c r="P360" s="102"/>
      <c r="AC360" s="95"/>
      <c r="AD360" s="102"/>
      <c r="AE360" s="102"/>
      <c r="AF360" s="102"/>
      <c r="AG360" s="102"/>
    </row>
    <row r="361" spans="1:45" ht="12" customHeight="1" x14ac:dyDescent="0.4">
      <c r="C361" s="117"/>
      <c r="D361" s="118"/>
      <c r="E361" s="118"/>
      <c r="F361" s="118"/>
      <c r="G361" s="118"/>
      <c r="H361" s="118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18"/>
      <c r="U361" s="102"/>
      <c r="V361" s="118"/>
      <c r="W361" s="102"/>
      <c r="X361" s="118"/>
      <c r="Y361" s="102"/>
      <c r="Z361" s="118"/>
      <c r="AA361" s="102"/>
      <c r="AB361" s="118"/>
      <c r="AC361" s="118"/>
    </row>
    <row r="362" spans="1:45" ht="21.75" customHeight="1" x14ac:dyDescent="0.4">
      <c r="B362" s="118" t="str">
        <f ca="1">IF(B364="①","【監督会議 8：20～】","【監督会議 12：50～】")</f>
        <v>【監督会議 8：20～】</v>
      </c>
      <c r="I362" s="96" t="s">
        <v>330</v>
      </c>
    </row>
    <row r="363" spans="1:45" ht="19.5" customHeight="1" x14ac:dyDescent="0.4">
      <c r="B363" s="97"/>
      <c r="C363" s="711" t="s">
        <v>3</v>
      </c>
      <c r="D363" s="711"/>
      <c r="E363" s="711"/>
      <c r="F363" s="712" t="s">
        <v>4</v>
      </c>
      <c r="G363" s="712"/>
      <c r="H363" s="712"/>
      <c r="I363" s="712"/>
      <c r="J363" s="711" t="s">
        <v>5</v>
      </c>
      <c r="K363" s="713"/>
      <c r="L363" s="713"/>
      <c r="M363" s="713"/>
      <c r="N363" s="713"/>
      <c r="O363" s="713"/>
      <c r="P363" s="713"/>
      <c r="Q363" s="711" t="s">
        <v>32</v>
      </c>
      <c r="R363" s="711"/>
      <c r="S363" s="711"/>
      <c r="T363" s="711"/>
      <c r="U363" s="711"/>
      <c r="V363" s="711"/>
      <c r="W363" s="711"/>
      <c r="X363" s="711" t="s">
        <v>5</v>
      </c>
      <c r="Y363" s="713"/>
      <c r="Z363" s="713"/>
      <c r="AA363" s="713"/>
      <c r="AB363" s="713"/>
      <c r="AC363" s="713"/>
      <c r="AD363" s="713"/>
      <c r="AE363" s="712" t="s">
        <v>4</v>
      </c>
      <c r="AF363" s="712"/>
      <c r="AG363" s="712"/>
      <c r="AH363" s="712"/>
      <c r="AI363" s="711" t="s">
        <v>6</v>
      </c>
      <c r="AJ363" s="711"/>
      <c r="AK363" s="713"/>
      <c r="AL363" s="713"/>
      <c r="AM363" s="713"/>
      <c r="AN363" s="713"/>
      <c r="AO363" s="713"/>
      <c r="AP363" s="713"/>
    </row>
    <row r="364" spans="1:45" ht="19.5" customHeight="1" x14ac:dyDescent="0.4">
      <c r="B364" s="644" t="str">
        <f ca="1">DBCS(INDIRECT("U12対戦スケジュール!m"&amp;(ROW())/2-AR$356))</f>
        <v>①</v>
      </c>
      <c r="C364" s="645">
        <f ca="1">INDIRECT("U12対戦スケジュール!n"&amp;(ROW())/2-AR$356)</f>
        <v>0.375</v>
      </c>
      <c r="D364" s="646"/>
      <c r="E364" s="647"/>
      <c r="F364" s="583"/>
      <c r="G364" s="583"/>
      <c r="H364" s="583"/>
      <c r="I364" s="583"/>
      <c r="J364" s="746" t="str">
        <f ca="1">VLOOKUP(AR364,U12組合せ!B$10:K$19,7,TRUE)</f>
        <v>リフレSCチェルビアット</v>
      </c>
      <c r="K364" s="747"/>
      <c r="L364" s="747"/>
      <c r="M364" s="747"/>
      <c r="N364" s="747"/>
      <c r="O364" s="747"/>
      <c r="P364" s="747"/>
      <c r="Q364" s="628" t="str">
        <f>IF(OR(S364="",S365=""),"",S364+S365)</f>
        <v/>
      </c>
      <c r="R364" s="630"/>
      <c r="S364" s="100"/>
      <c r="T364" s="101" t="s">
        <v>7</v>
      </c>
      <c r="U364" s="100"/>
      <c r="V364" s="628" t="str">
        <f>IF(OR(U364="",U365=""),"",U364+U365)</f>
        <v/>
      </c>
      <c r="W364" s="630"/>
      <c r="X364" s="746" t="str">
        <f ca="1">VLOOKUP(AS364,U12組合せ!B$10:K$19,7,TRUE)</f>
        <v>シャルムグランツSC</v>
      </c>
      <c r="Y364" s="747"/>
      <c r="Z364" s="747"/>
      <c r="AA364" s="747"/>
      <c r="AB364" s="747"/>
      <c r="AC364" s="747"/>
      <c r="AD364" s="747"/>
      <c r="AE364" s="583"/>
      <c r="AF364" s="583"/>
      <c r="AG364" s="583"/>
      <c r="AH364" s="583"/>
      <c r="AI364" s="758" t="str">
        <f ca="1">DBCS(INDIRECT("U12対戦スケジュール!r"&amp;(ROW())/2-AR$356))</f>
        <v>Ｃ９／Ｃ２／Ｃ５／Ｃ９</v>
      </c>
      <c r="AJ364" s="759"/>
      <c r="AK364" s="759"/>
      <c r="AL364" s="759"/>
      <c r="AM364" s="759"/>
      <c r="AN364" s="759"/>
      <c r="AO364" s="759"/>
      <c r="AP364" s="760"/>
      <c r="AR364" s="119">
        <f ca="1">INDIRECT("U12対戦スケジュール!o"&amp;(ROW())/2-AR$356)</f>
        <v>3</v>
      </c>
      <c r="AS364" s="119">
        <f ca="1">INDIRECT("U12対戦スケジュール!q"&amp;(ROW())/2-AR$356)</f>
        <v>6</v>
      </c>
    </row>
    <row r="365" spans="1:45" ht="19.5" customHeight="1" x14ac:dyDescent="0.4">
      <c r="B365" s="644"/>
      <c r="C365" s="648"/>
      <c r="D365" s="649"/>
      <c r="E365" s="650"/>
      <c r="F365" s="583"/>
      <c r="G365" s="583"/>
      <c r="H365" s="583"/>
      <c r="I365" s="583"/>
      <c r="J365" s="747"/>
      <c r="K365" s="747"/>
      <c r="L365" s="747"/>
      <c r="M365" s="747"/>
      <c r="N365" s="747"/>
      <c r="O365" s="747"/>
      <c r="P365" s="747"/>
      <c r="Q365" s="631"/>
      <c r="R365" s="633"/>
      <c r="S365" s="100"/>
      <c r="T365" s="101" t="s">
        <v>7</v>
      </c>
      <c r="U365" s="100"/>
      <c r="V365" s="631"/>
      <c r="W365" s="633"/>
      <c r="X365" s="747"/>
      <c r="Y365" s="747"/>
      <c r="Z365" s="747"/>
      <c r="AA365" s="747"/>
      <c r="AB365" s="747"/>
      <c r="AC365" s="747"/>
      <c r="AD365" s="747"/>
      <c r="AE365" s="583"/>
      <c r="AF365" s="583"/>
      <c r="AG365" s="583"/>
      <c r="AH365" s="583"/>
      <c r="AI365" s="761"/>
      <c r="AJ365" s="762"/>
      <c r="AK365" s="762"/>
      <c r="AL365" s="762"/>
      <c r="AM365" s="762"/>
      <c r="AN365" s="762"/>
      <c r="AO365" s="762"/>
      <c r="AP365" s="763"/>
      <c r="AR365" s="119"/>
      <c r="AS365" s="119"/>
    </row>
    <row r="366" spans="1:45" ht="19.5" customHeight="1" x14ac:dyDescent="0.4">
      <c r="B366" s="644" t="str">
        <f t="shared" ref="B366" ca="1" si="26">DBCS(INDIRECT("U12対戦スケジュール!m"&amp;(ROW())/2-AR$356))</f>
        <v>②</v>
      </c>
      <c r="C366" s="645">
        <f t="shared" ref="C366" ca="1" si="27">INDIRECT("U12対戦スケジュール!n"&amp;(ROW())/2-AR$356)</f>
        <v>0.41699999999999998</v>
      </c>
      <c r="D366" s="646"/>
      <c r="E366" s="647"/>
      <c r="F366" s="583"/>
      <c r="G366" s="583"/>
      <c r="H366" s="583"/>
      <c r="I366" s="583"/>
      <c r="J366" s="746" t="str">
        <f ca="1">VLOOKUP(AR366,U12組合せ!B$10:K$19,7,TRUE)</f>
        <v>みはらSC jr</v>
      </c>
      <c r="K366" s="747"/>
      <c r="L366" s="747"/>
      <c r="M366" s="747"/>
      <c r="N366" s="747"/>
      <c r="O366" s="747"/>
      <c r="P366" s="747"/>
      <c r="Q366" s="634" t="str">
        <f>IF(OR(S366="",S367=""),"",S366+S367)</f>
        <v/>
      </c>
      <c r="R366" s="634"/>
      <c r="S366" s="100"/>
      <c r="T366" s="101" t="s">
        <v>7</v>
      </c>
      <c r="U366" s="100"/>
      <c r="V366" s="634" t="str">
        <f>IF(OR(U366="",U367=""),"",U366+U367)</f>
        <v/>
      </c>
      <c r="W366" s="634"/>
      <c r="X366" s="746" t="str">
        <f ca="1">VLOOKUP(AS366,U12組合せ!B$10:K$19,7,TRUE)</f>
        <v>リフレSCチェルビアット</v>
      </c>
      <c r="Y366" s="747"/>
      <c r="Z366" s="747"/>
      <c r="AA366" s="747"/>
      <c r="AB366" s="747"/>
      <c r="AC366" s="747"/>
      <c r="AD366" s="747"/>
      <c r="AE366" s="583"/>
      <c r="AF366" s="583"/>
      <c r="AG366" s="583"/>
      <c r="AH366" s="583"/>
      <c r="AI366" s="758" t="str">
        <f ca="1">DBCS(INDIRECT("U12対戦スケジュール!r"&amp;(ROW())/2-AR$356))</f>
        <v>Ｃ６／Ｃ８／Ｃ２／Ｃ６</v>
      </c>
      <c r="AJ366" s="759"/>
      <c r="AK366" s="759"/>
      <c r="AL366" s="759"/>
      <c r="AM366" s="759"/>
      <c r="AN366" s="759"/>
      <c r="AO366" s="759"/>
      <c r="AP366" s="760"/>
      <c r="AR366" s="119">
        <f ca="1">INDIRECT("U12対戦スケジュール!o"&amp;(ROW())/2-AR$356)</f>
        <v>9</v>
      </c>
      <c r="AS366" s="119">
        <f ca="1">INDIRECT("U12対戦スケジュール!q"&amp;(ROW())/2-AR$356)</f>
        <v>3</v>
      </c>
    </row>
    <row r="367" spans="1:45" ht="19.5" customHeight="1" x14ac:dyDescent="0.4">
      <c r="B367" s="644"/>
      <c r="C367" s="648"/>
      <c r="D367" s="649"/>
      <c r="E367" s="650"/>
      <c r="F367" s="583"/>
      <c r="G367" s="583"/>
      <c r="H367" s="583"/>
      <c r="I367" s="583"/>
      <c r="J367" s="747"/>
      <c r="K367" s="747"/>
      <c r="L367" s="747"/>
      <c r="M367" s="747"/>
      <c r="N367" s="747"/>
      <c r="O367" s="747"/>
      <c r="P367" s="747"/>
      <c r="Q367" s="634"/>
      <c r="R367" s="634"/>
      <c r="S367" s="100"/>
      <c r="T367" s="101" t="s">
        <v>7</v>
      </c>
      <c r="U367" s="100"/>
      <c r="V367" s="634"/>
      <c r="W367" s="634"/>
      <c r="X367" s="747"/>
      <c r="Y367" s="747"/>
      <c r="Z367" s="747"/>
      <c r="AA367" s="747"/>
      <c r="AB367" s="747"/>
      <c r="AC367" s="747"/>
      <c r="AD367" s="747"/>
      <c r="AE367" s="583"/>
      <c r="AF367" s="583"/>
      <c r="AG367" s="583"/>
      <c r="AH367" s="583"/>
      <c r="AI367" s="761"/>
      <c r="AJ367" s="762"/>
      <c r="AK367" s="762"/>
      <c r="AL367" s="762"/>
      <c r="AM367" s="762"/>
      <c r="AN367" s="762"/>
      <c r="AO367" s="762"/>
      <c r="AP367" s="763"/>
      <c r="AR367" s="119"/>
      <c r="AS367" s="119"/>
    </row>
    <row r="368" spans="1:45" ht="19.5" customHeight="1" x14ac:dyDescent="0.4">
      <c r="B368" s="644" t="str">
        <f t="shared" ref="B368" ca="1" si="28">DBCS(INDIRECT("U12対戦スケジュール!m"&amp;(ROW())/2-AR$356))</f>
        <v>③</v>
      </c>
      <c r="C368" s="645">
        <f t="shared" ref="C368" ca="1" si="29">INDIRECT("U12対戦スケジュール!n"&amp;(ROW())/2-AR$356)</f>
        <v>0.45899999999999996</v>
      </c>
      <c r="D368" s="646"/>
      <c r="E368" s="647"/>
      <c r="F368" s="583"/>
      <c r="G368" s="583"/>
      <c r="H368" s="583"/>
      <c r="I368" s="583"/>
      <c r="J368" s="746" t="str">
        <f ca="1">VLOOKUP(AR368,U12組合せ!B$10:K$19,7,TRUE)</f>
        <v>みはらSC jr</v>
      </c>
      <c r="K368" s="747"/>
      <c r="L368" s="747"/>
      <c r="M368" s="747"/>
      <c r="N368" s="747"/>
      <c r="O368" s="747"/>
      <c r="P368" s="747"/>
      <c r="Q368" s="634" t="str">
        <f>IF(OR(S368="",S369=""),"",S368+S369)</f>
        <v/>
      </c>
      <c r="R368" s="634"/>
      <c r="S368" s="100"/>
      <c r="T368" s="101" t="s">
        <v>7</v>
      </c>
      <c r="U368" s="100"/>
      <c r="V368" s="634" t="str">
        <f>IF(OR(U368="",U369=""),"",U368+U369)</f>
        <v/>
      </c>
      <c r="W368" s="634"/>
      <c r="X368" s="746" t="str">
        <f ca="1">VLOOKUP(AS368,U12組合せ!B$10:K$19,7,TRUE)</f>
        <v>FCみらいP</v>
      </c>
      <c r="Y368" s="747"/>
      <c r="Z368" s="747"/>
      <c r="AA368" s="747"/>
      <c r="AB368" s="747"/>
      <c r="AC368" s="747"/>
      <c r="AD368" s="747"/>
      <c r="AE368" s="583"/>
      <c r="AF368" s="583"/>
      <c r="AG368" s="583"/>
      <c r="AH368" s="583"/>
      <c r="AI368" s="758" t="str">
        <f ca="1">DBCS(INDIRECT("U12対戦スケジュール!r"&amp;(ROW())/2-AR$356))</f>
        <v>Ｃ３／Ｃ５／Ｃ６／Ｃ３</v>
      </c>
      <c r="AJ368" s="759"/>
      <c r="AK368" s="759"/>
      <c r="AL368" s="759"/>
      <c r="AM368" s="759"/>
      <c r="AN368" s="759"/>
      <c r="AO368" s="759"/>
      <c r="AP368" s="760"/>
      <c r="AR368" s="119">
        <f ca="1">INDIRECT("U12対戦スケジュール!o"&amp;(ROW())/2-AR$356)</f>
        <v>9</v>
      </c>
      <c r="AS368" s="119">
        <f ca="1">INDIRECT("U12対戦スケジュール!q"&amp;(ROW())/2-AR$356)</f>
        <v>8</v>
      </c>
    </row>
    <row r="369" spans="1:45" ht="19.5" customHeight="1" x14ac:dyDescent="0.4">
      <c r="B369" s="644"/>
      <c r="C369" s="648"/>
      <c r="D369" s="649"/>
      <c r="E369" s="650"/>
      <c r="F369" s="583"/>
      <c r="G369" s="583"/>
      <c r="H369" s="583"/>
      <c r="I369" s="583"/>
      <c r="J369" s="747"/>
      <c r="K369" s="747"/>
      <c r="L369" s="747"/>
      <c r="M369" s="747"/>
      <c r="N369" s="747"/>
      <c r="O369" s="747"/>
      <c r="P369" s="747"/>
      <c r="Q369" s="634"/>
      <c r="R369" s="634"/>
      <c r="S369" s="100"/>
      <c r="T369" s="101" t="s">
        <v>7</v>
      </c>
      <c r="U369" s="100"/>
      <c r="V369" s="634"/>
      <c r="W369" s="634"/>
      <c r="X369" s="747"/>
      <c r="Y369" s="747"/>
      <c r="Z369" s="747"/>
      <c r="AA369" s="747"/>
      <c r="AB369" s="747"/>
      <c r="AC369" s="747"/>
      <c r="AD369" s="747"/>
      <c r="AE369" s="583"/>
      <c r="AF369" s="583"/>
      <c r="AG369" s="583"/>
      <c r="AH369" s="583"/>
      <c r="AI369" s="761"/>
      <c r="AJ369" s="762"/>
      <c r="AK369" s="762"/>
      <c r="AL369" s="762"/>
      <c r="AM369" s="762"/>
      <c r="AN369" s="762"/>
      <c r="AO369" s="762"/>
      <c r="AP369" s="763"/>
      <c r="AR369" s="119"/>
      <c r="AS369" s="119"/>
    </row>
    <row r="370" spans="1:45" ht="19.5" customHeight="1" x14ac:dyDescent="0.4">
      <c r="B370" s="586"/>
      <c r="C370" s="739"/>
      <c r="D370" s="740"/>
      <c r="E370" s="741"/>
      <c r="F370" s="704"/>
      <c r="G370" s="704"/>
      <c r="H370" s="704"/>
      <c r="I370" s="704"/>
      <c r="J370" s="701"/>
      <c r="K370" s="702"/>
      <c r="L370" s="702"/>
      <c r="M370" s="702"/>
      <c r="N370" s="702"/>
      <c r="O370" s="702"/>
      <c r="P370" s="702"/>
      <c r="Q370" s="705"/>
      <c r="R370" s="705"/>
      <c r="S370" s="109"/>
      <c r="T370" s="110"/>
      <c r="U370" s="109"/>
      <c r="V370" s="705"/>
      <c r="W370" s="705"/>
      <c r="X370" s="701"/>
      <c r="Y370" s="702"/>
      <c r="Z370" s="702"/>
      <c r="AA370" s="702"/>
      <c r="AB370" s="702"/>
      <c r="AC370" s="702"/>
      <c r="AD370" s="702"/>
      <c r="AE370" s="704"/>
      <c r="AF370" s="704"/>
      <c r="AG370" s="704"/>
      <c r="AH370" s="704"/>
      <c r="AI370" s="706"/>
      <c r="AJ370" s="707"/>
      <c r="AK370" s="707"/>
      <c r="AL370" s="707"/>
      <c r="AM370" s="707"/>
      <c r="AN370" s="707"/>
      <c r="AO370" s="707"/>
      <c r="AP370" s="707"/>
      <c r="AR370" s="119"/>
      <c r="AS370" s="119"/>
    </row>
    <row r="371" spans="1:45" ht="19.5" customHeight="1" x14ac:dyDescent="0.4">
      <c r="B371" s="644"/>
      <c r="C371" s="648"/>
      <c r="D371" s="649"/>
      <c r="E371" s="650"/>
      <c r="F371" s="583"/>
      <c r="G371" s="583"/>
      <c r="H371" s="583"/>
      <c r="I371" s="583"/>
      <c r="J371" s="703"/>
      <c r="K371" s="703"/>
      <c r="L371" s="703"/>
      <c r="M371" s="703"/>
      <c r="N371" s="703"/>
      <c r="O371" s="703"/>
      <c r="P371" s="703"/>
      <c r="Q371" s="634"/>
      <c r="R371" s="634"/>
      <c r="S371" s="100"/>
      <c r="T371" s="101"/>
      <c r="U371" s="100"/>
      <c r="V371" s="634"/>
      <c r="W371" s="634"/>
      <c r="X371" s="703"/>
      <c r="Y371" s="703"/>
      <c r="Z371" s="703"/>
      <c r="AA371" s="703"/>
      <c r="AB371" s="703"/>
      <c r="AC371" s="703"/>
      <c r="AD371" s="703"/>
      <c r="AE371" s="583"/>
      <c r="AF371" s="583"/>
      <c r="AG371" s="583"/>
      <c r="AH371" s="583"/>
      <c r="AI371" s="708"/>
      <c r="AJ371" s="708"/>
      <c r="AK371" s="708"/>
      <c r="AL371" s="708"/>
      <c r="AM371" s="708"/>
      <c r="AN371" s="708"/>
      <c r="AO371" s="708"/>
      <c r="AP371" s="708"/>
      <c r="AR371" s="119"/>
      <c r="AS371" s="119"/>
    </row>
    <row r="372" spans="1:45" ht="19.5" customHeight="1" x14ac:dyDescent="0.4">
      <c r="B372" s="585"/>
      <c r="C372" s="587"/>
      <c r="D372" s="588"/>
      <c r="E372" s="589"/>
      <c r="F372" s="622"/>
      <c r="G372" s="623"/>
      <c r="H372" s="623"/>
      <c r="I372" s="624"/>
      <c r="J372" s="689"/>
      <c r="K372" s="690"/>
      <c r="L372" s="690"/>
      <c r="M372" s="690"/>
      <c r="N372" s="690"/>
      <c r="O372" s="690"/>
      <c r="P372" s="691"/>
      <c r="Q372" s="628"/>
      <c r="R372" s="630"/>
      <c r="S372" s="100"/>
      <c r="T372" s="101"/>
      <c r="U372" s="100"/>
      <c r="V372" s="628"/>
      <c r="W372" s="630"/>
      <c r="X372" s="695"/>
      <c r="Y372" s="696"/>
      <c r="Z372" s="696"/>
      <c r="AA372" s="696"/>
      <c r="AB372" s="696"/>
      <c r="AC372" s="696"/>
      <c r="AD372" s="697"/>
      <c r="AE372" s="622"/>
      <c r="AF372" s="623"/>
      <c r="AG372" s="623"/>
      <c r="AH372" s="624"/>
      <c r="AI372" s="628"/>
      <c r="AJ372" s="629"/>
      <c r="AK372" s="629"/>
      <c r="AL372" s="629"/>
      <c r="AM372" s="629"/>
      <c r="AN372" s="629"/>
      <c r="AO372" s="629"/>
      <c r="AP372" s="630"/>
    </row>
    <row r="373" spans="1:45" ht="19.5" customHeight="1" x14ac:dyDescent="0.4">
      <c r="B373" s="586"/>
      <c r="C373" s="590"/>
      <c r="D373" s="591"/>
      <c r="E373" s="592"/>
      <c r="F373" s="625"/>
      <c r="G373" s="626"/>
      <c r="H373" s="626"/>
      <c r="I373" s="627"/>
      <c r="J373" s="692"/>
      <c r="K373" s="693"/>
      <c r="L373" s="693"/>
      <c r="M373" s="693"/>
      <c r="N373" s="693"/>
      <c r="O373" s="693"/>
      <c r="P373" s="694"/>
      <c r="Q373" s="631"/>
      <c r="R373" s="633"/>
      <c r="S373" s="100"/>
      <c r="T373" s="101"/>
      <c r="U373" s="100"/>
      <c r="V373" s="631"/>
      <c r="W373" s="633"/>
      <c r="X373" s="698"/>
      <c r="Y373" s="699"/>
      <c r="Z373" s="699"/>
      <c r="AA373" s="699"/>
      <c r="AB373" s="699"/>
      <c r="AC373" s="699"/>
      <c r="AD373" s="700"/>
      <c r="AE373" s="625"/>
      <c r="AF373" s="626"/>
      <c r="AG373" s="626"/>
      <c r="AH373" s="627"/>
      <c r="AI373" s="631"/>
      <c r="AJ373" s="632"/>
      <c r="AK373" s="632"/>
      <c r="AL373" s="632"/>
      <c r="AM373" s="632"/>
      <c r="AN373" s="632"/>
      <c r="AO373" s="632"/>
      <c r="AP373" s="633"/>
    </row>
    <row r="374" spans="1:45" ht="19.5" customHeight="1" x14ac:dyDescent="0.4">
      <c r="B374" s="585"/>
      <c r="C374" s="587"/>
      <c r="D374" s="588"/>
      <c r="E374" s="589"/>
      <c r="F374" s="622"/>
      <c r="G374" s="623"/>
      <c r="H374" s="623"/>
      <c r="I374" s="624"/>
      <c r="J374" s="689"/>
      <c r="K374" s="690"/>
      <c r="L374" s="690"/>
      <c r="M374" s="690"/>
      <c r="N374" s="690"/>
      <c r="O374" s="690"/>
      <c r="P374" s="691"/>
      <c r="Q374" s="628"/>
      <c r="R374" s="630"/>
      <c r="S374" s="100"/>
      <c r="T374" s="101"/>
      <c r="U374" s="100"/>
      <c r="V374" s="628"/>
      <c r="W374" s="630"/>
      <c r="X374" s="695"/>
      <c r="Y374" s="696"/>
      <c r="Z374" s="696"/>
      <c r="AA374" s="696"/>
      <c r="AB374" s="696"/>
      <c r="AC374" s="696"/>
      <c r="AD374" s="697"/>
      <c r="AE374" s="622"/>
      <c r="AF374" s="623"/>
      <c r="AG374" s="623"/>
      <c r="AH374" s="624"/>
      <c r="AI374" s="628"/>
      <c r="AJ374" s="629"/>
      <c r="AK374" s="629"/>
      <c r="AL374" s="629"/>
      <c r="AM374" s="629"/>
      <c r="AN374" s="629"/>
      <c r="AO374" s="629"/>
      <c r="AP374" s="630"/>
    </row>
    <row r="375" spans="1:45" ht="19.5" customHeight="1" x14ac:dyDescent="0.4">
      <c r="B375" s="586"/>
      <c r="C375" s="590"/>
      <c r="D375" s="591"/>
      <c r="E375" s="592"/>
      <c r="F375" s="625"/>
      <c r="G375" s="626"/>
      <c r="H375" s="626"/>
      <c r="I375" s="627"/>
      <c r="J375" s="692"/>
      <c r="K375" s="693"/>
      <c r="L375" s="693"/>
      <c r="M375" s="693"/>
      <c r="N375" s="693"/>
      <c r="O375" s="693"/>
      <c r="P375" s="694"/>
      <c r="Q375" s="631"/>
      <c r="R375" s="633"/>
      <c r="S375" s="100"/>
      <c r="T375" s="101"/>
      <c r="U375" s="100"/>
      <c r="V375" s="631"/>
      <c r="W375" s="633"/>
      <c r="X375" s="698"/>
      <c r="Y375" s="699"/>
      <c r="Z375" s="699"/>
      <c r="AA375" s="699"/>
      <c r="AB375" s="699"/>
      <c r="AC375" s="699"/>
      <c r="AD375" s="700"/>
      <c r="AE375" s="625"/>
      <c r="AF375" s="626"/>
      <c r="AG375" s="626"/>
      <c r="AH375" s="627"/>
      <c r="AI375" s="631"/>
      <c r="AJ375" s="632"/>
      <c r="AK375" s="632"/>
      <c r="AL375" s="632"/>
      <c r="AM375" s="632"/>
      <c r="AN375" s="632"/>
      <c r="AO375" s="632"/>
      <c r="AP375" s="633"/>
    </row>
    <row r="376" spans="1:45" ht="16.5" x14ac:dyDescent="0.4">
      <c r="B376" s="585"/>
      <c r="C376" s="587"/>
      <c r="D376" s="588"/>
      <c r="E376" s="589"/>
      <c r="F376" s="622"/>
      <c r="G376" s="623"/>
      <c r="H376" s="623"/>
      <c r="I376" s="624"/>
      <c r="J376" s="689"/>
      <c r="K376" s="690"/>
      <c r="L376" s="690"/>
      <c r="M376" s="690"/>
      <c r="N376" s="690"/>
      <c r="O376" s="690"/>
      <c r="P376" s="691"/>
      <c r="Q376" s="628"/>
      <c r="R376" s="630"/>
      <c r="S376" s="100"/>
      <c r="T376" s="101"/>
      <c r="U376" s="100"/>
      <c r="V376" s="628"/>
      <c r="W376" s="630"/>
      <c r="X376" s="695"/>
      <c r="Y376" s="696"/>
      <c r="Z376" s="696"/>
      <c r="AA376" s="696"/>
      <c r="AB376" s="696"/>
      <c r="AC376" s="696"/>
      <c r="AD376" s="697"/>
      <c r="AE376" s="622"/>
      <c r="AF376" s="623"/>
      <c r="AG376" s="623"/>
      <c r="AH376" s="624"/>
      <c r="AI376" s="628"/>
      <c r="AJ376" s="629"/>
      <c r="AK376" s="629"/>
      <c r="AL376" s="629"/>
      <c r="AM376" s="629"/>
      <c r="AN376" s="629"/>
      <c r="AO376" s="629"/>
      <c r="AP376" s="630"/>
    </row>
    <row r="377" spans="1:45" ht="16.5" x14ac:dyDescent="0.4">
      <c r="B377" s="586"/>
      <c r="C377" s="590"/>
      <c r="D377" s="591"/>
      <c r="E377" s="592"/>
      <c r="F377" s="625"/>
      <c r="G377" s="626"/>
      <c r="H377" s="626"/>
      <c r="I377" s="627"/>
      <c r="J377" s="692"/>
      <c r="K377" s="693"/>
      <c r="L377" s="693"/>
      <c r="M377" s="693"/>
      <c r="N377" s="693"/>
      <c r="O377" s="693"/>
      <c r="P377" s="694"/>
      <c r="Q377" s="631"/>
      <c r="R377" s="633"/>
      <c r="S377" s="100"/>
      <c r="T377" s="101"/>
      <c r="U377" s="100"/>
      <c r="V377" s="631"/>
      <c r="W377" s="633"/>
      <c r="X377" s="698"/>
      <c r="Y377" s="699"/>
      <c r="Z377" s="699"/>
      <c r="AA377" s="699"/>
      <c r="AB377" s="699"/>
      <c r="AC377" s="699"/>
      <c r="AD377" s="700"/>
      <c r="AE377" s="625"/>
      <c r="AF377" s="626"/>
      <c r="AG377" s="626"/>
      <c r="AH377" s="627"/>
      <c r="AI377" s="631"/>
      <c r="AJ377" s="632"/>
      <c r="AK377" s="632"/>
      <c r="AL377" s="632"/>
      <c r="AM377" s="632"/>
      <c r="AN377" s="632"/>
      <c r="AO377" s="632"/>
      <c r="AP377" s="633"/>
    </row>
    <row r="378" spans="1:45" ht="20.25" thickBot="1" x14ac:dyDescent="0.45">
      <c r="A378" s="102"/>
      <c r="B378" s="103"/>
      <c r="C378" s="104"/>
      <c r="D378" s="104"/>
      <c r="E378" s="104"/>
      <c r="F378" s="103"/>
      <c r="G378" s="103"/>
      <c r="H378" s="103"/>
      <c r="I378" s="103"/>
      <c r="J378" s="103"/>
      <c r="K378" s="105"/>
      <c r="L378" s="105"/>
      <c r="M378" s="106"/>
      <c r="N378" s="107"/>
      <c r="O378" s="106"/>
      <c r="P378" s="105"/>
      <c r="Q378" s="105"/>
      <c r="R378" s="103"/>
      <c r="S378" s="103"/>
      <c r="T378" s="103"/>
      <c r="U378" s="103"/>
      <c r="V378" s="103"/>
      <c r="W378" s="108"/>
      <c r="X378" s="108"/>
      <c r="Y378" s="108"/>
      <c r="Z378" s="108"/>
      <c r="AA378" s="108"/>
      <c r="AB378" s="108"/>
      <c r="AC378" s="102"/>
    </row>
    <row r="379" spans="1:45" ht="20.25" thickBot="1" x14ac:dyDescent="0.45">
      <c r="D379" s="664" t="s">
        <v>8</v>
      </c>
      <c r="E379" s="665"/>
      <c r="F379" s="665"/>
      <c r="G379" s="665"/>
      <c r="H379" s="665"/>
      <c r="I379" s="666"/>
      <c r="J379" s="667" t="s">
        <v>5</v>
      </c>
      <c r="K379" s="665"/>
      <c r="L379" s="665"/>
      <c r="M379" s="665"/>
      <c r="N379" s="665"/>
      <c r="O379" s="665"/>
      <c r="P379" s="665"/>
      <c r="Q379" s="666"/>
      <c r="R379" s="668" t="s">
        <v>9</v>
      </c>
      <c r="S379" s="669"/>
      <c r="T379" s="669"/>
      <c r="U379" s="669"/>
      <c r="V379" s="669"/>
      <c r="W379" s="669"/>
      <c r="X379" s="669"/>
      <c r="Y379" s="669"/>
      <c r="Z379" s="670"/>
      <c r="AA379" s="609" t="s">
        <v>10</v>
      </c>
      <c r="AB379" s="610"/>
      <c r="AC379" s="671"/>
      <c r="AD379" s="609" t="s">
        <v>11</v>
      </c>
      <c r="AE379" s="610"/>
      <c r="AF379" s="610"/>
      <c r="AG379" s="610"/>
      <c r="AH379" s="610"/>
      <c r="AI379" s="610"/>
      <c r="AJ379" s="610"/>
      <c r="AK379" s="610"/>
      <c r="AL379" s="610"/>
      <c r="AM379" s="611"/>
    </row>
    <row r="380" spans="1:45" ht="28.5" customHeight="1" x14ac:dyDescent="0.4">
      <c r="D380" s="651" t="s">
        <v>298</v>
      </c>
      <c r="E380" s="652"/>
      <c r="F380" s="652"/>
      <c r="G380" s="652"/>
      <c r="H380" s="652"/>
      <c r="I380" s="653"/>
      <c r="J380" s="654"/>
      <c r="K380" s="652"/>
      <c r="L380" s="652"/>
      <c r="M380" s="652"/>
      <c r="N380" s="652"/>
      <c r="O380" s="652"/>
      <c r="P380" s="652"/>
      <c r="Q380" s="653"/>
      <c r="R380" s="655"/>
      <c r="S380" s="656"/>
      <c r="T380" s="656"/>
      <c r="U380" s="656"/>
      <c r="V380" s="656"/>
      <c r="W380" s="656"/>
      <c r="X380" s="656"/>
      <c r="Y380" s="656"/>
      <c r="Z380" s="657"/>
      <c r="AA380" s="658"/>
      <c r="AB380" s="659"/>
      <c r="AC380" s="660"/>
      <c r="AD380" s="661"/>
      <c r="AE380" s="662"/>
      <c r="AF380" s="662"/>
      <c r="AG380" s="662"/>
      <c r="AH380" s="662"/>
      <c r="AI380" s="662"/>
      <c r="AJ380" s="662"/>
      <c r="AK380" s="662"/>
      <c r="AL380" s="662"/>
      <c r="AM380" s="663"/>
    </row>
    <row r="381" spans="1:45" ht="28.5" customHeight="1" x14ac:dyDescent="0.4">
      <c r="D381" s="688" t="s">
        <v>12</v>
      </c>
      <c r="E381" s="604"/>
      <c r="F381" s="604"/>
      <c r="G381" s="604"/>
      <c r="H381" s="604"/>
      <c r="I381" s="605"/>
      <c r="J381" s="603"/>
      <c r="K381" s="604"/>
      <c r="L381" s="604"/>
      <c r="M381" s="604"/>
      <c r="N381" s="604"/>
      <c r="O381" s="604"/>
      <c r="P381" s="604"/>
      <c r="Q381" s="605"/>
      <c r="R381" s="606"/>
      <c r="S381" s="607"/>
      <c r="T381" s="607"/>
      <c r="U381" s="607"/>
      <c r="V381" s="607"/>
      <c r="W381" s="607"/>
      <c r="X381" s="607"/>
      <c r="Y381" s="607"/>
      <c r="Z381" s="608"/>
      <c r="AA381" s="606"/>
      <c r="AB381" s="607"/>
      <c r="AC381" s="608"/>
      <c r="AD381" s="672"/>
      <c r="AE381" s="673"/>
      <c r="AF381" s="673"/>
      <c r="AG381" s="673"/>
      <c r="AH381" s="673"/>
      <c r="AI381" s="673"/>
      <c r="AJ381" s="673"/>
      <c r="AK381" s="673"/>
      <c r="AL381" s="673"/>
      <c r="AM381" s="674"/>
    </row>
    <row r="382" spans="1:45" ht="28.5" customHeight="1" thickBot="1" x14ac:dyDescent="0.45">
      <c r="D382" s="675" t="s">
        <v>12</v>
      </c>
      <c r="E382" s="676"/>
      <c r="F382" s="676"/>
      <c r="G382" s="676"/>
      <c r="H382" s="676"/>
      <c r="I382" s="677"/>
      <c r="J382" s="678"/>
      <c r="K382" s="676"/>
      <c r="L382" s="676"/>
      <c r="M382" s="676"/>
      <c r="N382" s="676"/>
      <c r="O382" s="676"/>
      <c r="P382" s="676"/>
      <c r="Q382" s="677"/>
      <c r="R382" s="679"/>
      <c r="S382" s="680"/>
      <c r="T382" s="680"/>
      <c r="U382" s="680"/>
      <c r="V382" s="680"/>
      <c r="W382" s="680"/>
      <c r="X382" s="680"/>
      <c r="Y382" s="680"/>
      <c r="Z382" s="681"/>
      <c r="AA382" s="682"/>
      <c r="AB382" s="683"/>
      <c r="AC382" s="684"/>
      <c r="AD382" s="685"/>
      <c r="AE382" s="686"/>
      <c r="AF382" s="686"/>
      <c r="AG382" s="686"/>
      <c r="AH382" s="686"/>
      <c r="AI382" s="686"/>
      <c r="AJ382" s="686"/>
      <c r="AK382" s="686"/>
      <c r="AL382" s="686"/>
      <c r="AM382" s="687"/>
    </row>
    <row r="383" spans="1:45" ht="13.5" customHeight="1" x14ac:dyDescent="0.4"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5"/>
      <c r="S383" s="105"/>
      <c r="T383" s="105"/>
      <c r="U383" s="105"/>
      <c r="V383" s="105"/>
      <c r="W383" s="105"/>
      <c r="X383" s="105"/>
      <c r="Y383" s="105"/>
      <c r="Z383" s="105"/>
      <c r="AA383" s="126"/>
      <c r="AB383" s="126"/>
      <c r="AC383" s="126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</row>
    <row r="384" spans="1:45" ht="24" customHeight="1" x14ac:dyDescent="0.4">
      <c r="A384" s="115"/>
      <c r="B384" s="599" t="str">
        <f>U12組合せ!$B$1</f>
        <v>ＪＦＡ　Ｕ-１２サッカーリーグ2021（in栃木） 宇都宮地区リーグ戦（前期）</v>
      </c>
      <c r="C384" s="599"/>
      <c r="D384" s="599"/>
      <c r="E384" s="599"/>
      <c r="F384" s="599"/>
      <c r="G384" s="599"/>
      <c r="H384" s="599"/>
      <c r="I384" s="599"/>
      <c r="J384" s="599"/>
      <c r="K384" s="599"/>
      <c r="L384" s="599"/>
      <c r="M384" s="599"/>
      <c r="N384" s="599"/>
      <c r="O384" s="599"/>
      <c r="P384" s="599"/>
      <c r="Q384" s="599"/>
      <c r="R384" s="599"/>
      <c r="S384" s="599"/>
      <c r="T384" s="599"/>
      <c r="U384" s="599"/>
      <c r="V384" s="599"/>
      <c r="W384" s="599"/>
      <c r="X384" s="599"/>
      <c r="Y384" s="599"/>
      <c r="Z384" s="599"/>
      <c r="AA384" s="599"/>
      <c r="AB384" s="599"/>
      <c r="AC384" s="612" t="str">
        <f>"【"&amp;(U12組合せ!$H$3)&amp;"】"</f>
        <v>【Ｃ ブロック】</v>
      </c>
      <c r="AD384" s="612"/>
      <c r="AE384" s="612"/>
      <c r="AF384" s="612"/>
      <c r="AG384" s="612"/>
      <c r="AH384" s="612"/>
      <c r="AI384" s="612"/>
      <c r="AJ384" s="612"/>
      <c r="AK384" s="602" t="str">
        <f>"第"&amp;(U12組合せ!$D$45)</f>
        <v>第５節</v>
      </c>
      <c r="AL384" s="602"/>
      <c r="AM384" s="602"/>
      <c r="AN384" s="602"/>
      <c r="AO384" s="602"/>
      <c r="AP384" s="597" t="s">
        <v>334</v>
      </c>
      <c r="AQ384" s="598"/>
    </row>
    <row r="385" spans="1:45" ht="15" customHeight="1" x14ac:dyDescent="0.4">
      <c r="A385" s="115"/>
      <c r="B385" s="599"/>
      <c r="C385" s="599"/>
      <c r="D385" s="599"/>
      <c r="E385" s="599"/>
      <c r="F385" s="599"/>
      <c r="G385" s="599"/>
      <c r="H385" s="599"/>
      <c r="I385" s="599"/>
      <c r="J385" s="599"/>
      <c r="K385" s="599"/>
      <c r="L385" s="599"/>
      <c r="M385" s="599"/>
      <c r="N385" s="599"/>
      <c r="O385" s="599"/>
      <c r="P385" s="599"/>
      <c r="Q385" s="599"/>
      <c r="R385" s="599"/>
      <c r="S385" s="599"/>
      <c r="T385" s="599"/>
      <c r="U385" s="599"/>
      <c r="V385" s="599"/>
      <c r="W385" s="599"/>
      <c r="X385" s="599"/>
      <c r="Y385" s="599"/>
      <c r="Z385" s="599"/>
      <c r="AA385" s="599"/>
      <c r="AB385" s="599"/>
      <c r="AC385" s="601"/>
      <c r="AD385" s="601"/>
      <c r="AE385" s="601"/>
      <c r="AF385" s="601"/>
      <c r="AG385" s="601"/>
      <c r="AH385" s="601"/>
      <c r="AI385" s="601"/>
      <c r="AJ385" s="601"/>
      <c r="AK385" s="601"/>
      <c r="AL385" s="601"/>
      <c r="AM385" s="601"/>
      <c r="AN385" s="601"/>
      <c r="AO385" s="612"/>
      <c r="AP385" s="598"/>
      <c r="AQ385" s="598"/>
    </row>
    <row r="386" spans="1:45" ht="29.25" customHeight="1" x14ac:dyDescent="0.4">
      <c r="C386" s="635" t="s">
        <v>1</v>
      </c>
      <c r="D386" s="635"/>
      <c r="E386" s="635"/>
      <c r="F386" s="635"/>
      <c r="G386" s="725" t="str">
        <f>U12対戦スケジュール!O103</f>
        <v>GP白沢 南/北AM</v>
      </c>
      <c r="H386" s="726"/>
      <c r="I386" s="726"/>
      <c r="J386" s="726"/>
      <c r="K386" s="726"/>
      <c r="L386" s="726"/>
      <c r="M386" s="726"/>
      <c r="N386" s="726"/>
      <c r="O386" s="727"/>
      <c r="P386" s="635" t="s">
        <v>0</v>
      </c>
      <c r="Q386" s="635"/>
      <c r="R386" s="635"/>
      <c r="S386" s="635"/>
      <c r="T386" s="725" t="str">
        <f>S388</f>
        <v>ともぞうSC　U11</v>
      </c>
      <c r="U386" s="726"/>
      <c r="V386" s="726"/>
      <c r="W386" s="726"/>
      <c r="X386" s="726"/>
      <c r="Y386" s="726"/>
      <c r="Z386" s="726"/>
      <c r="AA386" s="726"/>
      <c r="AB386" s="727"/>
      <c r="AC386" s="635" t="s">
        <v>2</v>
      </c>
      <c r="AD386" s="635"/>
      <c r="AE386" s="635"/>
      <c r="AF386" s="635"/>
      <c r="AG386" s="618">
        <f>U12組合せ!B$39</f>
        <v>44353</v>
      </c>
      <c r="AH386" s="619"/>
      <c r="AI386" s="619"/>
      <c r="AJ386" s="619"/>
      <c r="AK386" s="619"/>
      <c r="AL386" s="619"/>
      <c r="AM386" s="620" t="str">
        <f>"（"&amp;TEXT(AG386,"aaa")&amp;"）"</f>
        <v>（日）</v>
      </c>
      <c r="AN386" s="620"/>
      <c r="AO386" s="621"/>
      <c r="AP386" s="116"/>
      <c r="AR386" s="96">
        <f>396/2</f>
        <v>198</v>
      </c>
    </row>
    <row r="387" spans="1:45" ht="17.25" customHeight="1" x14ac:dyDescent="0.4">
      <c r="C387" s="96" t="str">
        <f>U12組合せ!I46</f>
        <v>C456</v>
      </c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95"/>
      <c r="X387" s="95"/>
      <c r="Y387" s="95"/>
      <c r="Z387" s="95"/>
      <c r="AA387" s="95"/>
      <c r="AB387" s="95"/>
      <c r="AC387" s="95"/>
      <c r="AR387" s="96">
        <v>105</v>
      </c>
    </row>
    <row r="388" spans="1:45" ht="30.75" customHeight="1" x14ac:dyDescent="0.4">
      <c r="C388" s="637">
        <v>1</v>
      </c>
      <c r="D388" s="637"/>
      <c r="E388" s="584" t="str">
        <f>VLOOKUP(C388,U12組合せ!B$10:K$19,7,TRUE)</f>
        <v>FCアリーバ</v>
      </c>
      <c r="F388" s="584"/>
      <c r="G388" s="584"/>
      <c r="H388" s="584"/>
      <c r="I388" s="584"/>
      <c r="J388" s="584"/>
      <c r="K388" s="584"/>
      <c r="L388" s="584"/>
      <c r="M388" s="584"/>
      <c r="N388" s="584"/>
      <c r="O388" s="94"/>
      <c r="P388" s="94"/>
      <c r="Q388" s="636">
        <v>4</v>
      </c>
      <c r="R388" s="636"/>
      <c r="S388" s="709" t="str">
        <f>VLOOKUP(Q388,U12組合せ!B$10:K$19,7,TRUE)</f>
        <v>ともぞうSC　U11</v>
      </c>
      <c r="T388" s="709"/>
      <c r="U388" s="709"/>
      <c r="V388" s="709"/>
      <c r="W388" s="709"/>
      <c r="X388" s="709"/>
      <c r="Y388" s="709"/>
      <c r="Z388" s="709"/>
      <c r="AA388" s="709"/>
      <c r="AB388" s="709"/>
      <c r="AC388" s="92"/>
      <c r="AD388" s="93"/>
      <c r="AE388" s="637">
        <v>7</v>
      </c>
      <c r="AF388" s="637"/>
      <c r="AG388" s="584" t="str">
        <f>VLOOKUP(AE388,U12組合せ!B$10:'U12組合せ'!K$19,7,TRUE)</f>
        <v>雀宮FC</v>
      </c>
      <c r="AH388" s="584"/>
      <c r="AI388" s="584"/>
      <c r="AJ388" s="584"/>
      <c r="AK388" s="584"/>
      <c r="AL388" s="584"/>
      <c r="AM388" s="584"/>
      <c r="AN388" s="584"/>
      <c r="AO388" s="584"/>
      <c r="AP388" s="584"/>
      <c r="AR388" s="96">
        <f>AR386-AR387</f>
        <v>93</v>
      </c>
    </row>
    <row r="389" spans="1:45" ht="30.75" customHeight="1" x14ac:dyDescent="0.4">
      <c r="C389" s="637">
        <v>2</v>
      </c>
      <c r="D389" s="637"/>
      <c r="E389" s="584" t="str">
        <f>VLOOKUP(C389,U12組合せ!B$10:K$19,7,TRUE)</f>
        <v>カテット白沢SS</v>
      </c>
      <c r="F389" s="584"/>
      <c r="G389" s="584"/>
      <c r="H389" s="584"/>
      <c r="I389" s="584"/>
      <c r="J389" s="584"/>
      <c r="K389" s="584"/>
      <c r="L389" s="584"/>
      <c r="M389" s="584"/>
      <c r="N389" s="584"/>
      <c r="O389" s="94"/>
      <c r="P389" s="94"/>
      <c r="Q389" s="636">
        <v>5</v>
      </c>
      <c r="R389" s="636"/>
      <c r="S389" s="709" t="str">
        <f>VLOOKUP(Q389,U12組合せ!B$10:K$19,7,TRUE)</f>
        <v>豊郷JFC宇都宮U-12</v>
      </c>
      <c r="T389" s="709"/>
      <c r="U389" s="709"/>
      <c r="V389" s="709"/>
      <c r="W389" s="709"/>
      <c r="X389" s="709"/>
      <c r="Y389" s="709"/>
      <c r="Z389" s="709"/>
      <c r="AA389" s="709"/>
      <c r="AB389" s="709"/>
      <c r="AC389" s="92"/>
      <c r="AD389" s="93"/>
      <c r="AE389" s="637">
        <v>8</v>
      </c>
      <c r="AF389" s="637"/>
      <c r="AG389" s="584" t="str">
        <f>VLOOKUP(AE389,U12組合せ!B$10:'U12組合せ'!K$19,7,TRUE)</f>
        <v>FCみらいP</v>
      </c>
      <c r="AH389" s="584"/>
      <c r="AI389" s="584"/>
      <c r="AJ389" s="584"/>
      <c r="AK389" s="584"/>
      <c r="AL389" s="584"/>
      <c r="AM389" s="584"/>
      <c r="AN389" s="584"/>
      <c r="AO389" s="584"/>
      <c r="AP389" s="584"/>
    </row>
    <row r="390" spans="1:45" ht="30.75" customHeight="1" x14ac:dyDescent="0.4">
      <c r="C390" s="637">
        <v>3</v>
      </c>
      <c r="D390" s="637"/>
      <c r="E390" s="584" t="str">
        <f>VLOOKUP(C390,U12組合せ!B$10:K$19,7,TRUE)</f>
        <v>リフレSCチェルビアット</v>
      </c>
      <c r="F390" s="584"/>
      <c r="G390" s="584"/>
      <c r="H390" s="584"/>
      <c r="I390" s="584"/>
      <c r="J390" s="584"/>
      <c r="K390" s="584"/>
      <c r="L390" s="584"/>
      <c r="M390" s="584"/>
      <c r="N390" s="584"/>
      <c r="O390" s="94"/>
      <c r="P390" s="94"/>
      <c r="Q390" s="636">
        <v>6</v>
      </c>
      <c r="R390" s="636"/>
      <c r="S390" s="709" t="str">
        <f>VLOOKUP(Q390,U12組合せ!B$10:K$19,7,TRUE)</f>
        <v>シャルムグランツSC</v>
      </c>
      <c r="T390" s="709"/>
      <c r="U390" s="709"/>
      <c r="V390" s="709"/>
      <c r="W390" s="709"/>
      <c r="X390" s="709"/>
      <c r="Y390" s="709"/>
      <c r="Z390" s="709"/>
      <c r="AA390" s="709"/>
      <c r="AB390" s="709"/>
      <c r="AC390" s="92"/>
      <c r="AD390" s="93"/>
      <c r="AE390" s="637">
        <v>9</v>
      </c>
      <c r="AF390" s="637"/>
      <c r="AG390" s="584" t="str">
        <f>VLOOKUP(AE390,U12組合せ!B$10:'U12組合せ'!K$19,7,TRUE)</f>
        <v>みはらSC jr</v>
      </c>
      <c r="AH390" s="584"/>
      <c r="AI390" s="584"/>
      <c r="AJ390" s="584"/>
      <c r="AK390" s="584"/>
      <c r="AL390" s="584"/>
      <c r="AM390" s="584"/>
      <c r="AN390" s="584"/>
      <c r="AO390" s="584"/>
      <c r="AP390" s="584"/>
    </row>
    <row r="391" spans="1:45" ht="6" customHeight="1" x14ac:dyDescent="0.4">
      <c r="C391" s="121"/>
      <c r="D391" s="121"/>
      <c r="E391" s="122"/>
      <c r="F391" s="122"/>
      <c r="G391" s="122"/>
      <c r="H391" s="122"/>
      <c r="I391" s="122"/>
      <c r="J391" s="122"/>
      <c r="K391" s="122"/>
      <c r="L391" s="122"/>
      <c r="M391" s="122"/>
      <c r="N391" s="122"/>
      <c r="O391" s="94"/>
      <c r="P391" s="94"/>
      <c r="Q391" s="123"/>
      <c r="R391" s="123"/>
      <c r="S391" s="124"/>
      <c r="T391" s="124"/>
      <c r="U391" s="124"/>
      <c r="V391" s="124"/>
      <c r="W391" s="124"/>
      <c r="X391" s="124"/>
      <c r="Y391" s="124"/>
      <c r="Z391" s="124"/>
      <c r="AA391" s="124"/>
      <c r="AB391" s="124"/>
      <c r="AC391" s="92"/>
      <c r="AD391" s="93"/>
      <c r="AE391" s="123"/>
      <c r="AF391" s="123"/>
      <c r="AG391" s="124"/>
      <c r="AH391" s="124"/>
      <c r="AI391" s="124"/>
      <c r="AJ391" s="124"/>
      <c r="AK391" s="124"/>
      <c r="AL391" s="124"/>
      <c r="AM391" s="124"/>
      <c r="AN391" s="124"/>
      <c r="AO391" s="124"/>
      <c r="AP391" s="124"/>
    </row>
    <row r="392" spans="1:45" ht="6" customHeight="1" x14ac:dyDescent="0.4">
      <c r="B392" s="102"/>
      <c r="O392" s="102"/>
      <c r="P392" s="102"/>
      <c r="AC392" s="95"/>
      <c r="AD392" s="102"/>
      <c r="AE392" s="102"/>
      <c r="AF392" s="102"/>
      <c r="AG392" s="102"/>
    </row>
    <row r="393" spans="1:45" ht="6" customHeight="1" x14ac:dyDescent="0.4">
      <c r="C393" s="117"/>
      <c r="D393" s="118"/>
      <c r="E393" s="118"/>
      <c r="F393" s="118"/>
      <c r="G393" s="118"/>
      <c r="H393" s="118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18"/>
      <c r="U393" s="102"/>
      <c r="V393" s="118"/>
      <c r="W393" s="102"/>
      <c r="X393" s="118"/>
      <c r="Y393" s="102"/>
      <c r="Z393" s="118"/>
      <c r="AA393" s="102"/>
      <c r="AB393" s="118"/>
      <c r="AC393" s="118"/>
    </row>
    <row r="394" spans="1:45" ht="21.75" customHeight="1" x14ac:dyDescent="0.4">
      <c r="B394" s="118" t="str">
        <f ca="1">IF(B396="①","【監督会議 8：20～】","【監督会議 12：50～】")</f>
        <v>【監督会議 8：20～】</v>
      </c>
      <c r="I394" s="96" t="s">
        <v>330</v>
      </c>
    </row>
    <row r="395" spans="1:45" ht="19.5" customHeight="1" x14ac:dyDescent="0.4">
      <c r="B395" s="97"/>
      <c r="C395" s="711" t="s">
        <v>3</v>
      </c>
      <c r="D395" s="711"/>
      <c r="E395" s="711"/>
      <c r="F395" s="712" t="s">
        <v>4</v>
      </c>
      <c r="G395" s="712"/>
      <c r="H395" s="712"/>
      <c r="I395" s="712"/>
      <c r="J395" s="711" t="s">
        <v>5</v>
      </c>
      <c r="K395" s="713"/>
      <c r="L395" s="713"/>
      <c r="M395" s="713"/>
      <c r="N395" s="713"/>
      <c r="O395" s="713"/>
      <c r="P395" s="713"/>
      <c r="Q395" s="711" t="s">
        <v>32</v>
      </c>
      <c r="R395" s="711"/>
      <c r="S395" s="711"/>
      <c r="T395" s="711"/>
      <c r="U395" s="711"/>
      <c r="V395" s="711"/>
      <c r="W395" s="711"/>
      <c r="X395" s="711" t="s">
        <v>5</v>
      </c>
      <c r="Y395" s="713"/>
      <c r="Z395" s="713"/>
      <c r="AA395" s="713"/>
      <c r="AB395" s="713"/>
      <c r="AC395" s="713"/>
      <c r="AD395" s="713"/>
      <c r="AE395" s="712" t="s">
        <v>4</v>
      </c>
      <c r="AF395" s="712"/>
      <c r="AG395" s="712"/>
      <c r="AH395" s="712"/>
      <c r="AI395" s="711" t="s">
        <v>6</v>
      </c>
      <c r="AJ395" s="711"/>
      <c r="AK395" s="713"/>
      <c r="AL395" s="713"/>
      <c r="AM395" s="713"/>
      <c r="AN395" s="713"/>
      <c r="AO395" s="713"/>
      <c r="AP395" s="713"/>
    </row>
    <row r="396" spans="1:45" ht="19.5" customHeight="1" x14ac:dyDescent="0.4">
      <c r="B396" s="644" t="str">
        <f ca="1">DBCS(INDIRECT("U12対戦スケジュール!m"&amp;(ROW())/2-AR$388))</f>
        <v>①</v>
      </c>
      <c r="C396" s="645">
        <f ca="1">INDIRECT("U12対戦スケジュール!n"&amp;(ROW())/2-AR$388)</f>
        <v>0.375</v>
      </c>
      <c r="D396" s="646"/>
      <c r="E396" s="647"/>
      <c r="F396" s="583"/>
      <c r="G396" s="583"/>
      <c r="H396" s="583"/>
      <c r="I396" s="583"/>
      <c r="J396" s="746" t="str">
        <f ca="1">VLOOKUP(AR396,U12組合せ!B$10:K$19,7,TRUE)</f>
        <v>ともぞうSC　U11</v>
      </c>
      <c r="K396" s="747"/>
      <c r="L396" s="747"/>
      <c r="M396" s="747"/>
      <c r="N396" s="747"/>
      <c r="O396" s="747"/>
      <c r="P396" s="747"/>
      <c r="Q396" s="628" t="str">
        <f>IF(OR(S396="",S397=""),"",S396+S397)</f>
        <v/>
      </c>
      <c r="R396" s="630"/>
      <c r="S396" s="100" t="str">
        <f>IF(Ａブロック対戦表!S421="","",Ａブロック対戦表!S421)</f>
        <v/>
      </c>
      <c r="T396" s="101" t="s">
        <v>7</v>
      </c>
      <c r="U396" s="100" t="str">
        <f>IF(Ａブロック対戦表!U421="","",Ａブロック対戦表!U421)</f>
        <v/>
      </c>
      <c r="V396" s="628" t="str">
        <f>IF(OR(U396="",U397=""),"",U396+U397)</f>
        <v/>
      </c>
      <c r="W396" s="630"/>
      <c r="X396" s="746" t="str">
        <f ca="1">VLOOKUP(AS396,U12組合せ!B$10:K$19,7,TRUE)</f>
        <v>豊郷JFC宇都宮U-12</v>
      </c>
      <c r="Y396" s="747"/>
      <c r="Z396" s="747"/>
      <c r="AA396" s="747"/>
      <c r="AB396" s="747"/>
      <c r="AC396" s="747"/>
      <c r="AD396" s="747"/>
      <c r="AE396" s="583"/>
      <c r="AF396" s="583"/>
      <c r="AG396" s="583"/>
      <c r="AH396" s="583"/>
      <c r="AI396" s="758" t="str">
        <f ca="1">DBCS(INDIRECT("U12対戦スケジュール!r"&amp;(ROW())/2-AR$388))</f>
        <v>６／４／５／６</v>
      </c>
      <c r="AJ396" s="759"/>
      <c r="AK396" s="759"/>
      <c r="AL396" s="759"/>
      <c r="AM396" s="759"/>
      <c r="AN396" s="759"/>
      <c r="AO396" s="759"/>
      <c r="AP396" s="760"/>
      <c r="AR396" s="119">
        <f ca="1">INDIRECT("U12対戦スケジュール!o"&amp;(ROW())/2-AR$388)</f>
        <v>4</v>
      </c>
      <c r="AS396" s="119">
        <f ca="1">INDIRECT("U12対戦スケジュール!q"&amp;(ROW())/2-AR$388)</f>
        <v>5</v>
      </c>
    </row>
    <row r="397" spans="1:45" ht="19.5" customHeight="1" x14ac:dyDescent="0.4">
      <c r="B397" s="644"/>
      <c r="C397" s="648"/>
      <c r="D397" s="649"/>
      <c r="E397" s="650"/>
      <c r="F397" s="583"/>
      <c r="G397" s="583"/>
      <c r="H397" s="583"/>
      <c r="I397" s="583"/>
      <c r="J397" s="747"/>
      <c r="K397" s="747"/>
      <c r="L397" s="747"/>
      <c r="M397" s="747"/>
      <c r="N397" s="747"/>
      <c r="O397" s="747"/>
      <c r="P397" s="747"/>
      <c r="Q397" s="631"/>
      <c r="R397" s="633"/>
      <c r="S397" s="100" t="str">
        <f>IF(Ａブロック対戦表!S422="","",Ａブロック対戦表!S422)</f>
        <v/>
      </c>
      <c r="T397" s="101" t="s">
        <v>7</v>
      </c>
      <c r="U397" s="100" t="str">
        <f>IF(Ａブロック対戦表!U422="","",Ａブロック対戦表!U422)</f>
        <v/>
      </c>
      <c r="V397" s="631"/>
      <c r="W397" s="633"/>
      <c r="X397" s="747"/>
      <c r="Y397" s="747"/>
      <c r="Z397" s="747"/>
      <c r="AA397" s="747"/>
      <c r="AB397" s="747"/>
      <c r="AC397" s="747"/>
      <c r="AD397" s="747"/>
      <c r="AE397" s="583"/>
      <c r="AF397" s="583"/>
      <c r="AG397" s="583"/>
      <c r="AH397" s="583"/>
      <c r="AI397" s="761"/>
      <c r="AJ397" s="762"/>
      <c r="AK397" s="762"/>
      <c r="AL397" s="762"/>
      <c r="AM397" s="762"/>
      <c r="AN397" s="762"/>
      <c r="AO397" s="762"/>
      <c r="AP397" s="763"/>
      <c r="AR397" s="119"/>
      <c r="AS397" s="119"/>
    </row>
    <row r="398" spans="1:45" ht="19.5" customHeight="1" x14ac:dyDescent="0.4">
      <c r="B398" s="644" t="str">
        <f ca="1">DBCS(INDIRECT("U12対戦スケジュール!m"&amp;(ROW())/2-AR$388))</f>
        <v>②</v>
      </c>
      <c r="C398" s="645">
        <f ca="1">INDIRECT("U12対戦スケジュール!n"&amp;(ROW())/2-AR$388)</f>
        <v>0.41699999999999998</v>
      </c>
      <c r="D398" s="646"/>
      <c r="E398" s="647"/>
      <c r="F398" s="583"/>
      <c r="G398" s="583"/>
      <c r="H398" s="583"/>
      <c r="I398" s="583"/>
      <c r="J398" s="746" t="str">
        <f ca="1">VLOOKUP(AR398,U12組合せ!B$10:K$19,7,TRUE)</f>
        <v>ともぞうSC　U11</v>
      </c>
      <c r="K398" s="747"/>
      <c r="L398" s="747"/>
      <c r="M398" s="747"/>
      <c r="N398" s="747"/>
      <c r="O398" s="747"/>
      <c r="P398" s="747"/>
      <c r="Q398" s="634" t="str">
        <f>IF(OR(S398="",S399=""),"",S398+S399)</f>
        <v/>
      </c>
      <c r="R398" s="634"/>
      <c r="S398" s="100" t="str">
        <f>IF(Ａブロック対戦表!S454="","",Ａブロック対戦表!S454)</f>
        <v/>
      </c>
      <c r="T398" s="101" t="s">
        <v>7</v>
      </c>
      <c r="U398" s="100" t="str">
        <f>IF(Ａブロック対戦表!U454="","",Ａブロック対戦表!U454)</f>
        <v/>
      </c>
      <c r="V398" s="634" t="str">
        <f>IF(OR(U398="",U399=""),"",U398+U399)</f>
        <v/>
      </c>
      <c r="W398" s="634"/>
      <c r="X398" s="746" t="str">
        <f ca="1">VLOOKUP(AS398,U12組合せ!B$10:K$19,7,TRUE)</f>
        <v>シャルムグランツSC</v>
      </c>
      <c r="Y398" s="747"/>
      <c r="Z398" s="747"/>
      <c r="AA398" s="747"/>
      <c r="AB398" s="747"/>
      <c r="AC398" s="747"/>
      <c r="AD398" s="747"/>
      <c r="AE398" s="583"/>
      <c r="AF398" s="583"/>
      <c r="AG398" s="583"/>
      <c r="AH398" s="583"/>
      <c r="AI398" s="758" t="str">
        <f ca="1">DBCS(INDIRECT("U12対戦スケジュール!r"&amp;(ROW())/2-AR$388))</f>
        <v>５／６／４／５</v>
      </c>
      <c r="AJ398" s="759"/>
      <c r="AK398" s="759"/>
      <c r="AL398" s="759"/>
      <c r="AM398" s="759"/>
      <c r="AN398" s="759"/>
      <c r="AO398" s="759"/>
      <c r="AP398" s="760"/>
      <c r="AR398" s="119">
        <f ca="1">INDIRECT("U12対戦スケジュール!o"&amp;(ROW())/2-AR$388)</f>
        <v>4</v>
      </c>
      <c r="AS398" s="119">
        <f ca="1">INDIRECT("U12対戦スケジュール!q"&amp;(ROW())/2-AR$388)</f>
        <v>6</v>
      </c>
    </row>
    <row r="399" spans="1:45" ht="19.5" customHeight="1" x14ac:dyDescent="0.4">
      <c r="B399" s="644"/>
      <c r="C399" s="648"/>
      <c r="D399" s="649"/>
      <c r="E399" s="650"/>
      <c r="F399" s="583"/>
      <c r="G399" s="583"/>
      <c r="H399" s="583"/>
      <c r="I399" s="583"/>
      <c r="J399" s="747"/>
      <c r="K399" s="747"/>
      <c r="L399" s="747"/>
      <c r="M399" s="747"/>
      <c r="N399" s="747"/>
      <c r="O399" s="747"/>
      <c r="P399" s="747"/>
      <c r="Q399" s="634"/>
      <c r="R399" s="634"/>
      <c r="S399" s="100" t="str">
        <f>IF(Ａブロック対戦表!S455="","",Ａブロック対戦表!S455)</f>
        <v/>
      </c>
      <c r="T399" s="101" t="s">
        <v>7</v>
      </c>
      <c r="U399" s="100" t="str">
        <f>IF(Ａブロック対戦表!U455="","",Ａブロック対戦表!U455)</f>
        <v/>
      </c>
      <c r="V399" s="634"/>
      <c r="W399" s="634"/>
      <c r="X399" s="747"/>
      <c r="Y399" s="747"/>
      <c r="Z399" s="747"/>
      <c r="AA399" s="747"/>
      <c r="AB399" s="747"/>
      <c r="AC399" s="747"/>
      <c r="AD399" s="747"/>
      <c r="AE399" s="583"/>
      <c r="AF399" s="583"/>
      <c r="AG399" s="583"/>
      <c r="AH399" s="583"/>
      <c r="AI399" s="761"/>
      <c r="AJ399" s="762"/>
      <c r="AK399" s="762"/>
      <c r="AL399" s="762"/>
      <c r="AM399" s="762"/>
      <c r="AN399" s="762"/>
      <c r="AO399" s="762"/>
      <c r="AP399" s="763"/>
      <c r="AR399" s="119"/>
      <c r="AS399" s="119"/>
    </row>
    <row r="400" spans="1:45" ht="19.5" customHeight="1" x14ac:dyDescent="0.4">
      <c r="B400" s="644"/>
      <c r="C400" s="645"/>
      <c r="D400" s="646"/>
      <c r="E400" s="647"/>
      <c r="F400" s="583"/>
      <c r="G400" s="583"/>
      <c r="H400" s="583"/>
      <c r="I400" s="583"/>
      <c r="J400" s="746"/>
      <c r="K400" s="747"/>
      <c r="L400" s="747"/>
      <c r="M400" s="747"/>
      <c r="N400" s="747"/>
      <c r="O400" s="747"/>
      <c r="P400" s="747"/>
      <c r="Q400" s="634"/>
      <c r="R400" s="634"/>
      <c r="S400" s="100"/>
      <c r="T400" s="101"/>
      <c r="U400" s="100"/>
      <c r="V400" s="634"/>
      <c r="W400" s="634"/>
      <c r="X400" s="746"/>
      <c r="Y400" s="747"/>
      <c r="Z400" s="747"/>
      <c r="AA400" s="747"/>
      <c r="AB400" s="747"/>
      <c r="AC400" s="747"/>
      <c r="AD400" s="747"/>
      <c r="AE400" s="583"/>
      <c r="AF400" s="583"/>
      <c r="AG400" s="583"/>
      <c r="AH400" s="583"/>
      <c r="AI400" s="758" t="str">
        <f ca="1">DBCS(INDIRECT("U12対戦スケジュール!r"&amp;(ROW())/2-AR$356))</f>
        <v/>
      </c>
      <c r="AJ400" s="759"/>
      <c r="AK400" s="759"/>
      <c r="AL400" s="759"/>
      <c r="AM400" s="759"/>
      <c r="AN400" s="759"/>
      <c r="AO400" s="759"/>
      <c r="AP400" s="760"/>
      <c r="AR400" s="119">
        <f ca="1">INDIRECT("U12対戦スケジュール!o"&amp;(ROW())/2-AR$356)</f>
        <v>0</v>
      </c>
      <c r="AS400" s="119">
        <f ca="1">INDIRECT("U12対戦スケジュール!q"&amp;(ROW())/2-AR$356)</f>
        <v>0</v>
      </c>
    </row>
    <row r="401" spans="1:45" ht="19.5" customHeight="1" x14ac:dyDescent="0.4">
      <c r="B401" s="644"/>
      <c r="C401" s="648"/>
      <c r="D401" s="649"/>
      <c r="E401" s="650"/>
      <c r="F401" s="583"/>
      <c r="G401" s="583"/>
      <c r="H401" s="583"/>
      <c r="I401" s="583"/>
      <c r="J401" s="747"/>
      <c r="K401" s="747"/>
      <c r="L401" s="747"/>
      <c r="M401" s="747"/>
      <c r="N401" s="747"/>
      <c r="O401" s="747"/>
      <c r="P401" s="747"/>
      <c r="Q401" s="634"/>
      <c r="R401" s="634"/>
      <c r="S401" s="100"/>
      <c r="T401" s="101"/>
      <c r="U401" s="100"/>
      <c r="V401" s="634"/>
      <c r="W401" s="634"/>
      <c r="X401" s="747"/>
      <c r="Y401" s="747"/>
      <c r="Z401" s="747"/>
      <c r="AA401" s="747"/>
      <c r="AB401" s="747"/>
      <c r="AC401" s="747"/>
      <c r="AD401" s="747"/>
      <c r="AE401" s="583"/>
      <c r="AF401" s="583"/>
      <c r="AG401" s="583"/>
      <c r="AH401" s="583"/>
      <c r="AI401" s="761"/>
      <c r="AJ401" s="762"/>
      <c r="AK401" s="762"/>
      <c r="AL401" s="762"/>
      <c r="AM401" s="762"/>
      <c r="AN401" s="762"/>
      <c r="AO401" s="762"/>
      <c r="AP401" s="763"/>
      <c r="AR401" s="119"/>
      <c r="AS401" s="119"/>
    </row>
    <row r="402" spans="1:45" ht="19.5" customHeight="1" x14ac:dyDescent="0.4">
      <c r="B402" s="586"/>
      <c r="C402" s="739"/>
      <c r="D402" s="740"/>
      <c r="E402" s="741"/>
      <c r="F402" s="704"/>
      <c r="G402" s="704"/>
      <c r="H402" s="704"/>
      <c r="I402" s="704"/>
      <c r="J402" s="701"/>
      <c r="K402" s="702"/>
      <c r="L402" s="702"/>
      <c r="M402" s="702"/>
      <c r="N402" s="702"/>
      <c r="O402" s="702"/>
      <c r="P402" s="702"/>
      <c r="Q402" s="705"/>
      <c r="R402" s="705"/>
      <c r="S402" s="109"/>
      <c r="T402" s="110"/>
      <c r="U402" s="109"/>
      <c r="V402" s="705"/>
      <c r="W402" s="705"/>
      <c r="X402" s="701"/>
      <c r="Y402" s="702"/>
      <c r="Z402" s="702"/>
      <c r="AA402" s="702"/>
      <c r="AB402" s="702"/>
      <c r="AC402" s="702"/>
      <c r="AD402" s="702"/>
      <c r="AE402" s="704"/>
      <c r="AF402" s="704"/>
      <c r="AG402" s="704"/>
      <c r="AH402" s="704"/>
      <c r="AI402" s="706"/>
      <c r="AJ402" s="707"/>
      <c r="AK402" s="707"/>
      <c r="AL402" s="707"/>
      <c r="AM402" s="707"/>
      <c r="AN402" s="707"/>
      <c r="AO402" s="707"/>
      <c r="AP402" s="707"/>
      <c r="AR402" s="119"/>
      <c r="AS402" s="119"/>
    </row>
    <row r="403" spans="1:45" ht="19.5" customHeight="1" x14ac:dyDescent="0.4">
      <c r="B403" s="644"/>
      <c r="C403" s="648"/>
      <c r="D403" s="649"/>
      <c r="E403" s="650"/>
      <c r="F403" s="583"/>
      <c r="G403" s="583"/>
      <c r="H403" s="583"/>
      <c r="I403" s="583"/>
      <c r="J403" s="703"/>
      <c r="K403" s="703"/>
      <c r="L403" s="703"/>
      <c r="M403" s="703"/>
      <c r="N403" s="703"/>
      <c r="O403" s="703"/>
      <c r="P403" s="703"/>
      <c r="Q403" s="634"/>
      <c r="R403" s="634"/>
      <c r="S403" s="100"/>
      <c r="T403" s="101"/>
      <c r="U403" s="100"/>
      <c r="V403" s="634"/>
      <c r="W403" s="634"/>
      <c r="X403" s="703"/>
      <c r="Y403" s="703"/>
      <c r="Z403" s="703"/>
      <c r="AA403" s="703"/>
      <c r="AB403" s="703"/>
      <c r="AC403" s="703"/>
      <c r="AD403" s="703"/>
      <c r="AE403" s="583"/>
      <c r="AF403" s="583"/>
      <c r="AG403" s="583"/>
      <c r="AH403" s="583"/>
      <c r="AI403" s="708"/>
      <c r="AJ403" s="708"/>
      <c r="AK403" s="708"/>
      <c r="AL403" s="708"/>
      <c r="AM403" s="708"/>
      <c r="AN403" s="708"/>
      <c r="AO403" s="708"/>
      <c r="AP403" s="708"/>
      <c r="AR403" s="119"/>
      <c r="AS403" s="119"/>
    </row>
    <row r="404" spans="1:45" ht="19.5" customHeight="1" x14ac:dyDescent="0.4">
      <c r="B404" s="585"/>
      <c r="C404" s="587"/>
      <c r="D404" s="588"/>
      <c r="E404" s="589"/>
      <c r="F404" s="622"/>
      <c r="G404" s="623"/>
      <c r="H404" s="623"/>
      <c r="I404" s="624"/>
      <c r="J404" s="689"/>
      <c r="K404" s="690"/>
      <c r="L404" s="690"/>
      <c r="M404" s="690"/>
      <c r="N404" s="690"/>
      <c r="O404" s="690"/>
      <c r="P404" s="691"/>
      <c r="Q404" s="628"/>
      <c r="R404" s="630"/>
      <c r="S404" s="100"/>
      <c r="T404" s="101"/>
      <c r="U404" s="100"/>
      <c r="V404" s="628"/>
      <c r="W404" s="630"/>
      <c r="X404" s="695"/>
      <c r="Y404" s="696"/>
      <c r="Z404" s="696"/>
      <c r="AA404" s="696"/>
      <c r="AB404" s="696"/>
      <c r="AC404" s="696"/>
      <c r="AD404" s="697"/>
      <c r="AE404" s="622"/>
      <c r="AF404" s="623"/>
      <c r="AG404" s="623"/>
      <c r="AH404" s="624"/>
      <c r="AI404" s="628"/>
      <c r="AJ404" s="629"/>
      <c r="AK404" s="629"/>
      <c r="AL404" s="629"/>
      <c r="AM404" s="629"/>
      <c r="AN404" s="629"/>
      <c r="AO404" s="629"/>
      <c r="AP404" s="630"/>
    </row>
    <row r="405" spans="1:45" ht="19.5" customHeight="1" x14ac:dyDescent="0.4">
      <c r="B405" s="586"/>
      <c r="C405" s="590"/>
      <c r="D405" s="591"/>
      <c r="E405" s="592"/>
      <c r="F405" s="625"/>
      <c r="G405" s="626"/>
      <c r="H405" s="626"/>
      <c r="I405" s="627"/>
      <c r="J405" s="692"/>
      <c r="K405" s="693"/>
      <c r="L405" s="693"/>
      <c r="M405" s="693"/>
      <c r="N405" s="693"/>
      <c r="O405" s="693"/>
      <c r="P405" s="694"/>
      <c r="Q405" s="631"/>
      <c r="R405" s="633"/>
      <c r="S405" s="100"/>
      <c r="T405" s="101"/>
      <c r="U405" s="100"/>
      <c r="V405" s="631"/>
      <c r="W405" s="633"/>
      <c r="X405" s="698"/>
      <c r="Y405" s="699"/>
      <c r="Z405" s="699"/>
      <c r="AA405" s="699"/>
      <c r="AB405" s="699"/>
      <c r="AC405" s="699"/>
      <c r="AD405" s="700"/>
      <c r="AE405" s="625"/>
      <c r="AF405" s="626"/>
      <c r="AG405" s="626"/>
      <c r="AH405" s="627"/>
      <c r="AI405" s="631"/>
      <c r="AJ405" s="632"/>
      <c r="AK405" s="632"/>
      <c r="AL405" s="632"/>
      <c r="AM405" s="632"/>
      <c r="AN405" s="632"/>
      <c r="AO405" s="632"/>
      <c r="AP405" s="633"/>
    </row>
    <row r="406" spans="1:45" ht="19.5" customHeight="1" x14ac:dyDescent="0.4">
      <c r="B406" s="585"/>
      <c r="C406" s="587"/>
      <c r="D406" s="588"/>
      <c r="E406" s="589"/>
      <c r="F406" s="622"/>
      <c r="G406" s="623"/>
      <c r="H406" s="623"/>
      <c r="I406" s="624"/>
      <c r="J406" s="689"/>
      <c r="K406" s="690"/>
      <c r="L406" s="690"/>
      <c r="M406" s="690"/>
      <c r="N406" s="690"/>
      <c r="O406" s="690"/>
      <c r="P406" s="691"/>
      <c r="Q406" s="628"/>
      <c r="R406" s="630"/>
      <c r="S406" s="100"/>
      <c r="T406" s="101"/>
      <c r="U406" s="100"/>
      <c r="V406" s="628"/>
      <c r="W406" s="630"/>
      <c r="X406" s="695"/>
      <c r="Y406" s="696"/>
      <c r="Z406" s="696"/>
      <c r="AA406" s="696"/>
      <c r="AB406" s="696"/>
      <c r="AC406" s="696"/>
      <c r="AD406" s="697"/>
      <c r="AE406" s="622"/>
      <c r="AF406" s="623"/>
      <c r="AG406" s="623"/>
      <c r="AH406" s="624"/>
      <c r="AI406" s="628"/>
      <c r="AJ406" s="629"/>
      <c r="AK406" s="629"/>
      <c r="AL406" s="629"/>
      <c r="AM406" s="629"/>
      <c r="AN406" s="629"/>
      <c r="AO406" s="629"/>
      <c r="AP406" s="630"/>
    </row>
    <row r="407" spans="1:45" ht="19.5" customHeight="1" x14ac:dyDescent="0.4">
      <c r="B407" s="586"/>
      <c r="C407" s="590"/>
      <c r="D407" s="591"/>
      <c r="E407" s="592"/>
      <c r="F407" s="625"/>
      <c r="G407" s="626"/>
      <c r="H407" s="626"/>
      <c r="I407" s="627"/>
      <c r="J407" s="692"/>
      <c r="K407" s="693"/>
      <c r="L407" s="693"/>
      <c r="M407" s="693"/>
      <c r="N407" s="693"/>
      <c r="O407" s="693"/>
      <c r="P407" s="694"/>
      <c r="Q407" s="631"/>
      <c r="R407" s="633"/>
      <c r="S407" s="100"/>
      <c r="T407" s="101"/>
      <c r="U407" s="100"/>
      <c r="V407" s="631"/>
      <c r="W407" s="633"/>
      <c r="X407" s="698"/>
      <c r="Y407" s="699"/>
      <c r="Z407" s="699"/>
      <c r="AA407" s="699"/>
      <c r="AB407" s="699"/>
      <c r="AC407" s="699"/>
      <c r="AD407" s="700"/>
      <c r="AE407" s="625"/>
      <c r="AF407" s="626"/>
      <c r="AG407" s="626"/>
      <c r="AH407" s="627"/>
      <c r="AI407" s="631"/>
      <c r="AJ407" s="632"/>
      <c r="AK407" s="632"/>
      <c r="AL407" s="632"/>
      <c r="AM407" s="632"/>
      <c r="AN407" s="632"/>
      <c r="AO407" s="632"/>
      <c r="AP407" s="633"/>
    </row>
    <row r="408" spans="1:45" ht="16.5" x14ac:dyDescent="0.4">
      <c r="B408" s="585"/>
      <c r="C408" s="587"/>
      <c r="D408" s="588"/>
      <c r="E408" s="589"/>
      <c r="F408" s="622"/>
      <c r="G408" s="623"/>
      <c r="H408" s="623"/>
      <c r="I408" s="624"/>
      <c r="J408" s="689"/>
      <c r="K408" s="690"/>
      <c r="L408" s="690"/>
      <c r="M408" s="690"/>
      <c r="N408" s="690"/>
      <c r="O408" s="690"/>
      <c r="P408" s="691"/>
      <c r="Q408" s="628"/>
      <c r="R408" s="630"/>
      <c r="S408" s="100"/>
      <c r="T408" s="101"/>
      <c r="U408" s="100"/>
      <c r="V408" s="628"/>
      <c r="W408" s="630"/>
      <c r="X408" s="695"/>
      <c r="Y408" s="696"/>
      <c r="Z408" s="696"/>
      <c r="AA408" s="696"/>
      <c r="AB408" s="696"/>
      <c r="AC408" s="696"/>
      <c r="AD408" s="697"/>
      <c r="AE408" s="622"/>
      <c r="AF408" s="623"/>
      <c r="AG408" s="623"/>
      <c r="AH408" s="624"/>
      <c r="AI408" s="628"/>
      <c r="AJ408" s="629"/>
      <c r="AK408" s="629"/>
      <c r="AL408" s="629"/>
      <c r="AM408" s="629"/>
      <c r="AN408" s="629"/>
      <c r="AO408" s="629"/>
      <c r="AP408" s="630"/>
    </row>
    <row r="409" spans="1:45" ht="16.5" x14ac:dyDescent="0.4">
      <c r="B409" s="586"/>
      <c r="C409" s="590"/>
      <c r="D409" s="591"/>
      <c r="E409" s="592"/>
      <c r="F409" s="625"/>
      <c r="G409" s="626"/>
      <c r="H409" s="626"/>
      <c r="I409" s="627"/>
      <c r="J409" s="692"/>
      <c r="K409" s="693"/>
      <c r="L409" s="693"/>
      <c r="M409" s="693"/>
      <c r="N409" s="693"/>
      <c r="O409" s="693"/>
      <c r="P409" s="694"/>
      <c r="Q409" s="631"/>
      <c r="R409" s="633"/>
      <c r="S409" s="100"/>
      <c r="T409" s="101"/>
      <c r="U409" s="100"/>
      <c r="V409" s="631"/>
      <c r="W409" s="633"/>
      <c r="X409" s="698"/>
      <c r="Y409" s="699"/>
      <c r="Z409" s="699"/>
      <c r="AA409" s="699"/>
      <c r="AB409" s="699"/>
      <c r="AC409" s="699"/>
      <c r="AD409" s="700"/>
      <c r="AE409" s="625"/>
      <c r="AF409" s="626"/>
      <c r="AG409" s="626"/>
      <c r="AH409" s="627"/>
      <c r="AI409" s="631"/>
      <c r="AJ409" s="632"/>
      <c r="AK409" s="632"/>
      <c r="AL409" s="632"/>
      <c r="AM409" s="632"/>
      <c r="AN409" s="632"/>
      <c r="AO409" s="632"/>
      <c r="AP409" s="633"/>
    </row>
    <row r="410" spans="1:45" ht="20.25" thickBot="1" x14ac:dyDescent="0.45">
      <c r="A410" s="102"/>
      <c r="B410" s="103"/>
      <c r="C410" s="104"/>
      <c r="D410" s="104"/>
      <c r="E410" s="104"/>
      <c r="F410" s="103"/>
      <c r="G410" s="103"/>
      <c r="H410" s="103"/>
      <c r="I410" s="103"/>
      <c r="J410" s="103"/>
      <c r="K410" s="105"/>
      <c r="L410" s="105"/>
      <c r="M410" s="106"/>
      <c r="N410" s="107"/>
      <c r="O410" s="106"/>
      <c r="P410" s="105"/>
      <c r="Q410" s="105"/>
      <c r="R410" s="103"/>
      <c r="S410" s="103"/>
      <c r="T410" s="103"/>
      <c r="U410" s="103"/>
      <c r="V410" s="103"/>
      <c r="W410" s="108"/>
      <c r="X410" s="108"/>
      <c r="Y410" s="108"/>
      <c r="Z410" s="108"/>
      <c r="AA410" s="108"/>
      <c r="AB410" s="108"/>
      <c r="AC410" s="102"/>
    </row>
    <row r="411" spans="1:45" ht="20.25" thickBot="1" x14ac:dyDescent="0.45">
      <c r="D411" s="664" t="s">
        <v>8</v>
      </c>
      <c r="E411" s="665"/>
      <c r="F411" s="665"/>
      <c r="G411" s="665"/>
      <c r="H411" s="665"/>
      <c r="I411" s="666"/>
      <c r="J411" s="667" t="s">
        <v>5</v>
      </c>
      <c r="K411" s="665"/>
      <c r="L411" s="665"/>
      <c r="M411" s="665"/>
      <c r="N411" s="665"/>
      <c r="O411" s="665"/>
      <c r="P411" s="665"/>
      <c r="Q411" s="666"/>
      <c r="R411" s="668" t="s">
        <v>9</v>
      </c>
      <c r="S411" s="669"/>
      <c r="T411" s="669"/>
      <c r="U411" s="669"/>
      <c r="V411" s="669"/>
      <c r="W411" s="669"/>
      <c r="X411" s="669"/>
      <c r="Y411" s="669"/>
      <c r="Z411" s="670"/>
      <c r="AA411" s="609" t="s">
        <v>10</v>
      </c>
      <c r="AB411" s="610"/>
      <c r="AC411" s="671"/>
      <c r="AD411" s="609" t="s">
        <v>11</v>
      </c>
      <c r="AE411" s="610"/>
      <c r="AF411" s="610"/>
      <c r="AG411" s="610"/>
      <c r="AH411" s="610"/>
      <c r="AI411" s="610"/>
      <c r="AJ411" s="610"/>
      <c r="AK411" s="610"/>
      <c r="AL411" s="610"/>
      <c r="AM411" s="611"/>
    </row>
    <row r="412" spans="1:45" ht="28.5" customHeight="1" x14ac:dyDescent="0.4">
      <c r="D412" s="651" t="s">
        <v>298</v>
      </c>
      <c r="E412" s="652"/>
      <c r="F412" s="652"/>
      <c r="G412" s="652"/>
      <c r="H412" s="652"/>
      <c r="I412" s="653"/>
      <c r="J412" s="654"/>
      <c r="K412" s="652"/>
      <c r="L412" s="652"/>
      <c r="M412" s="652"/>
      <c r="N412" s="652"/>
      <c r="O412" s="652"/>
      <c r="P412" s="652"/>
      <c r="Q412" s="653"/>
      <c r="R412" s="655"/>
      <c r="S412" s="656"/>
      <c r="T412" s="656"/>
      <c r="U412" s="656"/>
      <c r="V412" s="656"/>
      <c r="W412" s="656"/>
      <c r="X412" s="656"/>
      <c r="Y412" s="656"/>
      <c r="Z412" s="657"/>
      <c r="AA412" s="658"/>
      <c r="AB412" s="659"/>
      <c r="AC412" s="660"/>
      <c r="AD412" s="661"/>
      <c r="AE412" s="662"/>
      <c r="AF412" s="662"/>
      <c r="AG412" s="662"/>
      <c r="AH412" s="662"/>
      <c r="AI412" s="662"/>
      <c r="AJ412" s="662"/>
      <c r="AK412" s="662"/>
      <c r="AL412" s="662"/>
      <c r="AM412" s="663"/>
    </row>
    <row r="413" spans="1:45" ht="28.5" customHeight="1" x14ac:dyDescent="0.4">
      <c r="D413" s="688" t="s">
        <v>12</v>
      </c>
      <c r="E413" s="604"/>
      <c r="F413" s="604"/>
      <c r="G413" s="604"/>
      <c r="H413" s="604"/>
      <c r="I413" s="605"/>
      <c r="J413" s="603"/>
      <c r="K413" s="604"/>
      <c r="L413" s="604"/>
      <c r="M413" s="604"/>
      <c r="N413" s="604"/>
      <c r="O413" s="604"/>
      <c r="P413" s="604"/>
      <c r="Q413" s="605"/>
      <c r="R413" s="606"/>
      <c r="S413" s="607"/>
      <c r="T413" s="607"/>
      <c r="U413" s="607"/>
      <c r="V413" s="607"/>
      <c r="W413" s="607"/>
      <c r="X413" s="607"/>
      <c r="Y413" s="607"/>
      <c r="Z413" s="608"/>
      <c r="AA413" s="606"/>
      <c r="AB413" s="607"/>
      <c r="AC413" s="608"/>
      <c r="AD413" s="672"/>
      <c r="AE413" s="673"/>
      <c r="AF413" s="673"/>
      <c r="AG413" s="673"/>
      <c r="AH413" s="673"/>
      <c r="AI413" s="673"/>
      <c r="AJ413" s="673"/>
      <c r="AK413" s="673"/>
      <c r="AL413" s="673"/>
      <c r="AM413" s="674"/>
    </row>
    <row r="414" spans="1:45" ht="28.5" customHeight="1" thickBot="1" x14ac:dyDescent="0.45">
      <c r="D414" s="675" t="s">
        <v>12</v>
      </c>
      <c r="E414" s="676"/>
      <c r="F414" s="676"/>
      <c r="G414" s="676"/>
      <c r="H414" s="676"/>
      <c r="I414" s="677"/>
      <c r="J414" s="678"/>
      <c r="K414" s="676"/>
      <c r="L414" s="676"/>
      <c r="M414" s="676"/>
      <c r="N414" s="676"/>
      <c r="O414" s="676"/>
      <c r="P414" s="676"/>
      <c r="Q414" s="677"/>
      <c r="R414" s="679"/>
      <c r="S414" s="680"/>
      <c r="T414" s="680"/>
      <c r="U414" s="680"/>
      <c r="V414" s="680"/>
      <c r="W414" s="680"/>
      <c r="X414" s="680"/>
      <c r="Y414" s="680"/>
      <c r="Z414" s="681"/>
      <c r="AA414" s="682"/>
      <c r="AB414" s="683"/>
      <c r="AC414" s="684"/>
      <c r="AD414" s="685"/>
      <c r="AE414" s="686"/>
      <c r="AF414" s="686"/>
      <c r="AG414" s="686"/>
      <c r="AH414" s="686"/>
      <c r="AI414" s="686"/>
      <c r="AJ414" s="686"/>
      <c r="AK414" s="686"/>
      <c r="AL414" s="686"/>
      <c r="AM414" s="687"/>
    </row>
  </sheetData>
  <mergeCells count="1571">
    <mergeCell ref="S390:AB390"/>
    <mergeCell ref="AD414:AM414"/>
    <mergeCell ref="D414:I414"/>
    <mergeCell ref="J414:Q414"/>
    <mergeCell ref="R414:Z414"/>
    <mergeCell ref="AA414:AC414"/>
    <mergeCell ref="AD412:AM412"/>
    <mergeCell ref="D413:I413"/>
    <mergeCell ref="J413:Q413"/>
    <mergeCell ref="R413:Z413"/>
    <mergeCell ref="AA413:AC413"/>
    <mergeCell ref="AD411:AM411"/>
    <mergeCell ref="Q408:R409"/>
    <mergeCell ref="V408:W409"/>
    <mergeCell ref="X408:AD409"/>
    <mergeCell ref="AE408:AH409"/>
    <mergeCell ref="Q400:R401"/>
    <mergeCell ref="V400:W401"/>
    <mergeCell ref="X400:AD401"/>
    <mergeCell ref="AE400:AH401"/>
    <mergeCell ref="B408:B409"/>
    <mergeCell ref="C408:E409"/>
    <mergeCell ref="F408:I409"/>
    <mergeCell ref="J408:P409"/>
    <mergeCell ref="AD413:AM413"/>
    <mergeCell ref="D412:I412"/>
    <mergeCell ref="J412:Q412"/>
    <mergeCell ref="R412:Z412"/>
    <mergeCell ref="AA412:AC412"/>
    <mergeCell ref="AI408:AP409"/>
    <mergeCell ref="D411:I411"/>
    <mergeCell ref="J411:Q411"/>
    <mergeCell ref="R411:Z411"/>
    <mergeCell ref="AA411:AC411"/>
    <mergeCell ref="Q404:R405"/>
    <mergeCell ref="V404:W405"/>
    <mergeCell ref="X404:AD405"/>
    <mergeCell ref="AE404:AH405"/>
    <mergeCell ref="B404:B405"/>
    <mergeCell ref="C404:E405"/>
    <mergeCell ref="F404:I405"/>
    <mergeCell ref="J404:P405"/>
    <mergeCell ref="AI404:AP405"/>
    <mergeCell ref="B406:B407"/>
    <mergeCell ref="C406:E407"/>
    <mergeCell ref="F406:I407"/>
    <mergeCell ref="J406:P407"/>
    <mergeCell ref="Q406:R407"/>
    <mergeCell ref="V406:W407"/>
    <mergeCell ref="X406:AD407"/>
    <mergeCell ref="AE406:AH407"/>
    <mergeCell ref="AI406:AP407"/>
    <mergeCell ref="B402:B403"/>
    <mergeCell ref="C402:E403"/>
    <mergeCell ref="F402:I403"/>
    <mergeCell ref="J402:P403"/>
    <mergeCell ref="Q402:R403"/>
    <mergeCell ref="V402:W403"/>
    <mergeCell ref="X402:AD403"/>
    <mergeCell ref="AE402:AH403"/>
    <mergeCell ref="AI402:AP403"/>
    <mergeCell ref="Q396:R397"/>
    <mergeCell ref="V396:W397"/>
    <mergeCell ref="X396:AD397"/>
    <mergeCell ref="AE396:AH397"/>
    <mergeCell ref="B396:B397"/>
    <mergeCell ref="C396:E397"/>
    <mergeCell ref="F396:I397"/>
    <mergeCell ref="J396:P397"/>
    <mergeCell ref="AI396:AP397"/>
    <mergeCell ref="B398:B399"/>
    <mergeCell ref="C398:E399"/>
    <mergeCell ref="F398:I399"/>
    <mergeCell ref="J398:P399"/>
    <mergeCell ref="Q398:R399"/>
    <mergeCell ref="V398:W399"/>
    <mergeCell ref="X398:AD399"/>
    <mergeCell ref="AE398:AH399"/>
    <mergeCell ref="AI398:AP399"/>
    <mergeCell ref="D382:I382"/>
    <mergeCell ref="J382:Q382"/>
    <mergeCell ref="R382:Z382"/>
    <mergeCell ref="AG389:AP389"/>
    <mergeCell ref="C388:D388"/>
    <mergeCell ref="E388:N388"/>
    <mergeCell ref="Q388:R388"/>
    <mergeCell ref="S388:AB388"/>
    <mergeCell ref="AP384:AQ385"/>
    <mergeCell ref="C386:F386"/>
    <mergeCell ref="G386:O386"/>
    <mergeCell ref="P386:S386"/>
    <mergeCell ref="T386:AB386"/>
    <mergeCell ref="B400:B401"/>
    <mergeCell ref="C400:E401"/>
    <mergeCell ref="F400:I401"/>
    <mergeCell ref="J400:P401"/>
    <mergeCell ref="AI400:AP401"/>
    <mergeCell ref="S389:AB389"/>
    <mergeCell ref="AE389:AF389"/>
    <mergeCell ref="AE390:AF390"/>
    <mergeCell ref="AG390:AP390"/>
    <mergeCell ref="C395:E395"/>
    <mergeCell ref="F395:I395"/>
    <mergeCell ref="J395:P395"/>
    <mergeCell ref="Q395:W395"/>
    <mergeCell ref="X395:AD395"/>
    <mergeCell ref="AE395:AH395"/>
    <mergeCell ref="AI395:AP395"/>
    <mergeCell ref="C390:D390"/>
    <mergeCell ref="E390:N390"/>
    <mergeCell ref="Q390:R390"/>
    <mergeCell ref="AE388:AF388"/>
    <mergeCell ref="AG388:AP388"/>
    <mergeCell ref="C389:D389"/>
    <mergeCell ref="E389:N389"/>
    <mergeCell ref="Q389:R389"/>
    <mergeCell ref="AA380:AC380"/>
    <mergeCell ref="AI376:AP377"/>
    <mergeCell ref="D379:I379"/>
    <mergeCell ref="J379:Q379"/>
    <mergeCell ref="R379:Z379"/>
    <mergeCell ref="AA379:AC379"/>
    <mergeCell ref="AD379:AM379"/>
    <mergeCell ref="Q376:R377"/>
    <mergeCell ref="V376:W377"/>
    <mergeCell ref="X376:AD377"/>
    <mergeCell ref="AA382:AC382"/>
    <mergeCell ref="AD380:AM380"/>
    <mergeCell ref="D381:I381"/>
    <mergeCell ref="J381:Q381"/>
    <mergeCell ref="R381:Z381"/>
    <mergeCell ref="AA381:AC381"/>
    <mergeCell ref="AD381:AM381"/>
    <mergeCell ref="D380:I380"/>
    <mergeCell ref="J380:Q380"/>
    <mergeCell ref="R380:Z380"/>
    <mergeCell ref="AC386:AF386"/>
    <mergeCell ref="AG386:AL386"/>
    <mergeCell ref="AM386:AO386"/>
    <mergeCell ref="AD382:AM382"/>
    <mergeCell ref="B384:AB385"/>
    <mergeCell ref="AC384:AJ385"/>
    <mergeCell ref="AK384:AO385"/>
    <mergeCell ref="Q374:R375"/>
    <mergeCell ref="V374:W375"/>
    <mergeCell ref="X374:AD375"/>
    <mergeCell ref="AE374:AH375"/>
    <mergeCell ref="AI374:AP375"/>
    <mergeCell ref="Q372:R373"/>
    <mergeCell ref="V372:W373"/>
    <mergeCell ref="X372:AD373"/>
    <mergeCell ref="AE372:AH373"/>
    <mergeCell ref="AE376:AH377"/>
    <mergeCell ref="B376:B377"/>
    <mergeCell ref="C376:E377"/>
    <mergeCell ref="F376:I377"/>
    <mergeCell ref="J376:P377"/>
    <mergeCell ref="AI372:AP373"/>
    <mergeCell ref="B374:B375"/>
    <mergeCell ref="C374:E375"/>
    <mergeCell ref="F374:I375"/>
    <mergeCell ref="J374:P375"/>
    <mergeCell ref="V370:W371"/>
    <mergeCell ref="X370:AD371"/>
    <mergeCell ref="AE370:AH371"/>
    <mergeCell ref="AI370:AP371"/>
    <mergeCell ref="Q368:R369"/>
    <mergeCell ref="V368:W369"/>
    <mergeCell ref="X368:AD369"/>
    <mergeCell ref="AE368:AH369"/>
    <mergeCell ref="B372:B373"/>
    <mergeCell ref="C372:E373"/>
    <mergeCell ref="F372:I373"/>
    <mergeCell ref="J372:P373"/>
    <mergeCell ref="AI368:AP369"/>
    <mergeCell ref="B370:B371"/>
    <mergeCell ref="C370:E371"/>
    <mergeCell ref="F370:I371"/>
    <mergeCell ref="J370:P371"/>
    <mergeCell ref="Q370:R371"/>
    <mergeCell ref="V366:W367"/>
    <mergeCell ref="X366:AD367"/>
    <mergeCell ref="AE366:AH367"/>
    <mergeCell ref="AI366:AP367"/>
    <mergeCell ref="Q364:R365"/>
    <mergeCell ref="V364:W365"/>
    <mergeCell ref="X364:AD365"/>
    <mergeCell ref="AE364:AH365"/>
    <mergeCell ref="B368:B369"/>
    <mergeCell ref="C368:E369"/>
    <mergeCell ref="F368:I369"/>
    <mergeCell ref="J368:P369"/>
    <mergeCell ref="AI364:AP365"/>
    <mergeCell ref="B366:B367"/>
    <mergeCell ref="C366:E367"/>
    <mergeCell ref="F366:I367"/>
    <mergeCell ref="J366:P367"/>
    <mergeCell ref="Q366:R367"/>
    <mergeCell ref="C357:D357"/>
    <mergeCell ref="E357:N357"/>
    <mergeCell ref="Q357:R357"/>
    <mergeCell ref="S357:AB357"/>
    <mergeCell ref="AE357:AF357"/>
    <mergeCell ref="AG357:AP357"/>
    <mergeCell ref="C356:D356"/>
    <mergeCell ref="E356:N356"/>
    <mergeCell ref="X363:AD363"/>
    <mergeCell ref="AE363:AH363"/>
    <mergeCell ref="AI363:AP363"/>
    <mergeCell ref="C358:D358"/>
    <mergeCell ref="E358:N358"/>
    <mergeCell ref="Q358:R358"/>
    <mergeCell ref="S358:AB358"/>
    <mergeCell ref="B364:B365"/>
    <mergeCell ref="C364:E365"/>
    <mergeCell ref="F364:I365"/>
    <mergeCell ref="J364:P365"/>
    <mergeCell ref="AE358:AF358"/>
    <mergeCell ref="AG358:AP358"/>
    <mergeCell ref="C363:E363"/>
    <mergeCell ref="F363:I363"/>
    <mergeCell ref="J363:P363"/>
    <mergeCell ref="Q363:W363"/>
    <mergeCell ref="AD350:AM350"/>
    <mergeCell ref="B352:AB353"/>
    <mergeCell ref="AC352:AJ353"/>
    <mergeCell ref="AK352:AO353"/>
    <mergeCell ref="D350:I350"/>
    <mergeCell ref="J350:Q350"/>
    <mergeCell ref="R350:Z350"/>
    <mergeCell ref="AA350:AC350"/>
    <mergeCell ref="Q356:R356"/>
    <mergeCell ref="S356:AB356"/>
    <mergeCell ref="AP352:AQ353"/>
    <mergeCell ref="C354:F354"/>
    <mergeCell ref="G354:O354"/>
    <mergeCell ref="P354:S354"/>
    <mergeCell ref="T354:AB354"/>
    <mergeCell ref="AC354:AF354"/>
    <mergeCell ref="AG354:AL354"/>
    <mergeCell ref="AM354:AO354"/>
    <mergeCell ref="AE356:AF356"/>
    <mergeCell ref="AG356:AP356"/>
    <mergeCell ref="D347:I347"/>
    <mergeCell ref="J347:Q347"/>
    <mergeCell ref="R347:Z347"/>
    <mergeCell ref="AA347:AC347"/>
    <mergeCell ref="AD347:AM347"/>
    <mergeCell ref="Q344:R345"/>
    <mergeCell ref="V344:W345"/>
    <mergeCell ref="X344:AD345"/>
    <mergeCell ref="AE344:AH345"/>
    <mergeCell ref="AD348:AM348"/>
    <mergeCell ref="D349:I349"/>
    <mergeCell ref="J349:Q349"/>
    <mergeCell ref="R349:Z349"/>
    <mergeCell ref="AA349:AC349"/>
    <mergeCell ref="AD349:AM349"/>
    <mergeCell ref="D348:I348"/>
    <mergeCell ref="J348:Q348"/>
    <mergeCell ref="R348:Z348"/>
    <mergeCell ref="AA348:AC348"/>
    <mergeCell ref="V342:W343"/>
    <mergeCell ref="X342:AD343"/>
    <mergeCell ref="AE342:AH343"/>
    <mergeCell ref="AI342:AP343"/>
    <mergeCell ref="Q340:R341"/>
    <mergeCell ref="V340:W341"/>
    <mergeCell ref="X340:AD341"/>
    <mergeCell ref="AE340:AH341"/>
    <mergeCell ref="B344:B345"/>
    <mergeCell ref="C344:E345"/>
    <mergeCell ref="F344:I345"/>
    <mergeCell ref="J344:P345"/>
    <mergeCell ref="AI340:AP341"/>
    <mergeCell ref="B342:B343"/>
    <mergeCell ref="C342:E343"/>
    <mergeCell ref="F342:I343"/>
    <mergeCell ref="J342:P343"/>
    <mergeCell ref="Q342:R343"/>
    <mergeCell ref="AI344:AP345"/>
    <mergeCell ref="V338:W339"/>
    <mergeCell ref="X338:AD339"/>
    <mergeCell ref="AE338:AH339"/>
    <mergeCell ref="AI338:AP339"/>
    <mergeCell ref="Q336:R337"/>
    <mergeCell ref="V336:W337"/>
    <mergeCell ref="X336:AD337"/>
    <mergeCell ref="AE336:AH337"/>
    <mergeCell ref="B340:B341"/>
    <mergeCell ref="C340:E341"/>
    <mergeCell ref="F340:I341"/>
    <mergeCell ref="J340:P341"/>
    <mergeCell ref="AI336:AP337"/>
    <mergeCell ref="B338:B339"/>
    <mergeCell ref="C338:E339"/>
    <mergeCell ref="F338:I339"/>
    <mergeCell ref="J338:P339"/>
    <mergeCell ref="Q338:R339"/>
    <mergeCell ref="V334:W335"/>
    <mergeCell ref="X334:AD335"/>
    <mergeCell ref="AE334:AH335"/>
    <mergeCell ref="AI334:AP335"/>
    <mergeCell ref="Q332:R333"/>
    <mergeCell ref="V332:W333"/>
    <mergeCell ref="X332:AD333"/>
    <mergeCell ref="AE332:AH333"/>
    <mergeCell ref="B336:B337"/>
    <mergeCell ref="C336:E337"/>
    <mergeCell ref="F336:I337"/>
    <mergeCell ref="J336:P337"/>
    <mergeCell ref="AI332:AP333"/>
    <mergeCell ref="B334:B335"/>
    <mergeCell ref="C334:E335"/>
    <mergeCell ref="F334:I335"/>
    <mergeCell ref="J334:P335"/>
    <mergeCell ref="Q334:R335"/>
    <mergeCell ref="C325:D325"/>
    <mergeCell ref="E325:N325"/>
    <mergeCell ref="Q325:R325"/>
    <mergeCell ref="S325:AB325"/>
    <mergeCell ref="AE325:AF325"/>
    <mergeCell ref="AG325:AP325"/>
    <mergeCell ref="C324:D324"/>
    <mergeCell ref="E324:N324"/>
    <mergeCell ref="X331:AD331"/>
    <mergeCell ref="AE331:AH331"/>
    <mergeCell ref="AI331:AP331"/>
    <mergeCell ref="C326:D326"/>
    <mergeCell ref="E326:N326"/>
    <mergeCell ref="Q326:R326"/>
    <mergeCell ref="S326:AB326"/>
    <mergeCell ref="B332:B333"/>
    <mergeCell ref="C332:E333"/>
    <mergeCell ref="F332:I333"/>
    <mergeCell ref="J332:P333"/>
    <mergeCell ref="AE326:AF326"/>
    <mergeCell ref="AG326:AP326"/>
    <mergeCell ref="C331:E331"/>
    <mergeCell ref="F331:I331"/>
    <mergeCell ref="J331:P331"/>
    <mergeCell ref="Q331:W331"/>
    <mergeCell ref="AD318:AM318"/>
    <mergeCell ref="B320:AB321"/>
    <mergeCell ref="AC320:AJ321"/>
    <mergeCell ref="AK320:AO321"/>
    <mergeCell ref="D318:I318"/>
    <mergeCell ref="J318:Q318"/>
    <mergeCell ref="R318:Z318"/>
    <mergeCell ref="AA318:AC318"/>
    <mergeCell ref="Q324:R324"/>
    <mergeCell ref="S324:AB324"/>
    <mergeCell ref="AP320:AQ321"/>
    <mergeCell ref="C322:F322"/>
    <mergeCell ref="G322:O322"/>
    <mergeCell ref="P322:S322"/>
    <mergeCell ref="T322:AB322"/>
    <mergeCell ref="AC322:AF322"/>
    <mergeCell ref="AG322:AL322"/>
    <mergeCell ref="AM322:AO322"/>
    <mergeCell ref="AE324:AF324"/>
    <mergeCell ref="AG324:AP324"/>
    <mergeCell ref="D315:I315"/>
    <mergeCell ref="J315:Q315"/>
    <mergeCell ref="R315:Z315"/>
    <mergeCell ref="AA315:AC315"/>
    <mergeCell ref="AD315:AM315"/>
    <mergeCell ref="Q312:R313"/>
    <mergeCell ref="V312:W313"/>
    <mergeCell ref="X312:AD313"/>
    <mergeCell ref="AE312:AH313"/>
    <mergeCell ref="AD316:AM316"/>
    <mergeCell ref="D317:I317"/>
    <mergeCell ref="J317:Q317"/>
    <mergeCell ref="R317:Z317"/>
    <mergeCell ref="AA317:AC317"/>
    <mergeCell ref="AD317:AM317"/>
    <mergeCell ref="D316:I316"/>
    <mergeCell ref="J316:Q316"/>
    <mergeCell ref="R316:Z316"/>
    <mergeCell ref="AA316:AC316"/>
    <mergeCell ref="V310:W311"/>
    <mergeCell ref="X310:AD311"/>
    <mergeCell ref="AE310:AH311"/>
    <mergeCell ref="AI310:AP311"/>
    <mergeCell ref="Q308:R309"/>
    <mergeCell ref="V308:W309"/>
    <mergeCell ref="X308:AD309"/>
    <mergeCell ref="AE308:AH309"/>
    <mergeCell ref="B312:B313"/>
    <mergeCell ref="C312:E313"/>
    <mergeCell ref="F312:I313"/>
    <mergeCell ref="J312:P313"/>
    <mergeCell ref="AI308:AP309"/>
    <mergeCell ref="B310:B311"/>
    <mergeCell ref="C310:E311"/>
    <mergeCell ref="F310:I311"/>
    <mergeCell ref="J310:P311"/>
    <mergeCell ref="Q310:R311"/>
    <mergeCell ref="AI312:AP313"/>
    <mergeCell ref="V306:W307"/>
    <mergeCell ref="X306:AD307"/>
    <mergeCell ref="AE306:AH307"/>
    <mergeCell ref="AI306:AP307"/>
    <mergeCell ref="Q304:R305"/>
    <mergeCell ref="V304:W305"/>
    <mergeCell ref="X304:AD305"/>
    <mergeCell ref="AE304:AH305"/>
    <mergeCell ref="B308:B309"/>
    <mergeCell ref="C308:E309"/>
    <mergeCell ref="F308:I309"/>
    <mergeCell ref="J308:P309"/>
    <mergeCell ref="AI304:AP305"/>
    <mergeCell ref="B306:B307"/>
    <mergeCell ref="C306:E307"/>
    <mergeCell ref="F306:I307"/>
    <mergeCell ref="J306:P307"/>
    <mergeCell ref="Q306:R307"/>
    <mergeCell ref="V302:W303"/>
    <mergeCell ref="X302:AD303"/>
    <mergeCell ref="AE302:AH303"/>
    <mergeCell ref="AI302:AP303"/>
    <mergeCell ref="Q300:R301"/>
    <mergeCell ref="V300:W301"/>
    <mergeCell ref="X300:AD301"/>
    <mergeCell ref="AE300:AH301"/>
    <mergeCell ref="B304:B305"/>
    <mergeCell ref="C304:E305"/>
    <mergeCell ref="F304:I305"/>
    <mergeCell ref="J304:P305"/>
    <mergeCell ref="AI300:AP301"/>
    <mergeCell ref="B302:B303"/>
    <mergeCell ref="C302:E303"/>
    <mergeCell ref="F302:I303"/>
    <mergeCell ref="J302:P303"/>
    <mergeCell ref="Q302:R303"/>
    <mergeCell ref="X299:AD299"/>
    <mergeCell ref="AE299:AH299"/>
    <mergeCell ref="AI299:AP299"/>
    <mergeCell ref="C294:D294"/>
    <mergeCell ref="E294:N294"/>
    <mergeCell ref="Q293:R293"/>
    <mergeCell ref="S293:AB293"/>
    <mergeCell ref="B300:B301"/>
    <mergeCell ref="C300:E301"/>
    <mergeCell ref="F300:I301"/>
    <mergeCell ref="J300:P301"/>
    <mergeCell ref="AE292:AF292"/>
    <mergeCell ref="AG292:AP292"/>
    <mergeCell ref="C299:E299"/>
    <mergeCell ref="F299:I299"/>
    <mergeCell ref="J299:P299"/>
    <mergeCell ref="Q299:W299"/>
    <mergeCell ref="AE293:AF293"/>
    <mergeCell ref="AG293:AP293"/>
    <mergeCell ref="AE294:AF294"/>
    <mergeCell ref="AG294:AP294"/>
    <mergeCell ref="AE295:AF295"/>
    <mergeCell ref="AG295:AP295"/>
    <mergeCell ref="AD286:AM286"/>
    <mergeCell ref="B288:AB289"/>
    <mergeCell ref="AC288:AJ289"/>
    <mergeCell ref="AK288:AO289"/>
    <mergeCell ref="D286:I286"/>
    <mergeCell ref="J286:Q286"/>
    <mergeCell ref="R286:Z286"/>
    <mergeCell ref="AA286:AC286"/>
    <mergeCell ref="C295:D295"/>
    <mergeCell ref="E295:N295"/>
    <mergeCell ref="AP288:AQ289"/>
    <mergeCell ref="C290:F290"/>
    <mergeCell ref="G290:O290"/>
    <mergeCell ref="P290:S290"/>
    <mergeCell ref="T290:AB290"/>
    <mergeCell ref="AC290:AF290"/>
    <mergeCell ref="AG290:AL290"/>
    <mergeCell ref="AM290:AO290"/>
    <mergeCell ref="Q294:R294"/>
    <mergeCell ref="S294:AB294"/>
    <mergeCell ref="C293:D293"/>
    <mergeCell ref="E293:N293"/>
    <mergeCell ref="Q292:R292"/>
    <mergeCell ref="S292:AB292"/>
    <mergeCell ref="Q295:R295"/>
    <mergeCell ref="S295:AB295"/>
    <mergeCell ref="C292:D292"/>
    <mergeCell ref="E292:N292"/>
    <mergeCell ref="D283:I283"/>
    <mergeCell ref="J283:Q283"/>
    <mergeCell ref="R283:Z283"/>
    <mergeCell ref="AA283:AC283"/>
    <mergeCell ref="AD283:AM283"/>
    <mergeCell ref="Q280:R281"/>
    <mergeCell ref="V280:W281"/>
    <mergeCell ref="X280:AD281"/>
    <mergeCell ref="AE280:AH281"/>
    <mergeCell ref="AD284:AM284"/>
    <mergeCell ref="D285:I285"/>
    <mergeCell ref="J285:Q285"/>
    <mergeCell ref="R285:Z285"/>
    <mergeCell ref="AA285:AC285"/>
    <mergeCell ref="AD285:AM285"/>
    <mergeCell ref="D284:I284"/>
    <mergeCell ref="J284:Q284"/>
    <mergeCell ref="R284:Z284"/>
    <mergeCell ref="AA284:AC284"/>
    <mergeCell ref="V278:W279"/>
    <mergeCell ref="X278:AD279"/>
    <mergeCell ref="AE278:AH279"/>
    <mergeCell ref="AI278:AP279"/>
    <mergeCell ref="Q276:R277"/>
    <mergeCell ref="V276:W277"/>
    <mergeCell ref="X276:AD277"/>
    <mergeCell ref="AE276:AH277"/>
    <mergeCell ref="B280:B281"/>
    <mergeCell ref="C280:E281"/>
    <mergeCell ref="F280:I281"/>
    <mergeCell ref="J280:P281"/>
    <mergeCell ref="AI276:AP277"/>
    <mergeCell ref="B278:B279"/>
    <mergeCell ref="C278:E279"/>
    <mergeCell ref="F278:I279"/>
    <mergeCell ref="J278:P279"/>
    <mergeCell ref="Q278:R279"/>
    <mergeCell ref="AI280:AP281"/>
    <mergeCell ref="V274:W275"/>
    <mergeCell ref="X274:AD275"/>
    <mergeCell ref="AE274:AH275"/>
    <mergeCell ref="AI274:AP275"/>
    <mergeCell ref="Q272:R273"/>
    <mergeCell ref="V272:W273"/>
    <mergeCell ref="X272:AD273"/>
    <mergeCell ref="AE272:AH273"/>
    <mergeCell ref="B276:B277"/>
    <mergeCell ref="C276:E277"/>
    <mergeCell ref="F276:I277"/>
    <mergeCell ref="J276:P277"/>
    <mergeCell ref="AI272:AP273"/>
    <mergeCell ref="B274:B275"/>
    <mergeCell ref="C274:E275"/>
    <mergeCell ref="F274:I275"/>
    <mergeCell ref="J274:P275"/>
    <mergeCell ref="Q274:R275"/>
    <mergeCell ref="V270:W271"/>
    <mergeCell ref="X270:AD271"/>
    <mergeCell ref="AE270:AH271"/>
    <mergeCell ref="AI270:AP271"/>
    <mergeCell ref="Q268:R269"/>
    <mergeCell ref="V268:W269"/>
    <mergeCell ref="X268:AD269"/>
    <mergeCell ref="AE268:AH269"/>
    <mergeCell ref="B272:B273"/>
    <mergeCell ref="C272:E273"/>
    <mergeCell ref="F272:I273"/>
    <mergeCell ref="J272:P273"/>
    <mergeCell ref="AI268:AP269"/>
    <mergeCell ref="B270:B271"/>
    <mergeCell ref="C270:E271"/>
    <mergeCell ref="F270:I271"/>
    <mergeCell ref="J270:P271"/>
    <mergeCell ref="Q270:R271"/>
    <mergeCell ref="C261:D261"/>
    <mergeCell ref="E261:N261"/>
    <mergeCell ref="Q261:R261"/>
    <mergeCell ref="S261:AB261"/>
    <mergeCell ref="AE261:AF261"/>
    <mergeCell ref="AG261:AP261"/>
    <mergeCell ref="C260:D260"/>
    <mergeCell ref="E260:N260"/>
    <mergeCell ref="X267:AD267"/>
    <mergeCell ref="AE267:AH267"/>
    <mergeCell ref="AI267:AP267"/>
    <mergeCell ref="C262:D262"/>
    <mergeCell ref="E262:N262"/>
    <mergeCell ref="Q262:R262"/>
    <mergeCell ref="S262:AB262"/>
    <mergeCell ref="B268:B269"/>
    <mergeCell ref="C268:E269"/>
    <mergeCell ref="F268:I269"/>
    <mergeCell ref="J268:P269"/>
    <mergeCell ref="AE262:AF262"/>
    <mergeCell ref="AG262:AP262"/>
    <mergeCell ref="C267:E267"/>
    <mergeCell ref="F267:I267"/>
    <mergeCell ref="J267:P267"/>
    <mergeCell ref="Q267:W267"/>
    <mergeCell ref="AD254:AM254"/>
    <mergeCell ref="B256:AB257"/>
    <mergeCell ref="AC256:AJ257"/>
    <mergeCell ref="AK256:AO257"/>
    <mergeCell ref="D254:I254"/>
    <mergeCell ref="J254:Q254"/>
    <mergeCell ref="R254:Z254"/>
    <mergeCell ref="AA254:AC254"/>
    <mergeCell ref="Q260:R260"/>
    <mergeCell ref="S260:AB260"/>
    <mergeCell ref="AP256:AQ257"/>
    <mergeCell ref="C258:F258"/>
    <mergeCell ref="G258:O258"/>
    <mergeCell ref="P258:S258"/>
    <mergeCell ref="T258:AB258"/>
    <mergeCell ref="AC258:AF258"/>
    <mergeCell ref="AG258:AL258"/>
    <mergeCell ref="AM258:AO258"/>
    <mergeCell ref="AE260:AF260"/>
    <mergeCell ref="AG260:AP260"/>
    <mergeCell ref="D251:I251"/>
    <mergeCell ref="J251:Q251"/>
    <mergeCell ref="R251:Z251"/>
    <mergeCell ref="AA251:AC251"/>
    <mergeCell ref="AD251:AM251"/>
    <mergeCell ref="Q248:R249"/>
    <mergeCell ref="V248:W249"/>
    <mergeCell ref="X248:AD249"/>
    <mergeCell ref="AE248:AH249"/>
    <mergeCell ref="AD252:AM252"/>
    <mergeCell ref="D253:I253"/>
    <mergeCell ref="J253:Q253"/>
    <mergeCell ref="R253:Z253"/>
    <mergeCell ref="AA253:AC253"/>
    <mergeCell ref="AD253:AM253"/>
    <mergeCell ref="D252:I252"/>
    <mergeCell ref="J252:Q252"/>
    <mergeCell ref="R252:Z252"/>
    <mergeCell ref="AA252:AC252"/>
    <mergeCell ref="V246:W247"/>
    <mergeCell ref="X246:AD247"/>
    <mergeCell ref="AE246:AH247"/>
    <mergeCell ref="AI246:AP247"/>
    <mergeCell ref="Q244:R245"/>
    <mergeCell ref="V244:W245"/>
    <mergeCell ref="X244:AD245"/>
    <mergeCell ref="AE244:AH245"/>
    <mergeCell ref="B248:B249"/>
    <mergeCell ref="C248:E249"/>
    <mergeCell ref="F248:I249"/>
    <mergeCell ref="J248:P249"/>
    <mergeCell ref="AI244:AP245"/>
    <mergeCell ref="B246:B247"/>
    <mergeCell ref="C246:E247"/>
    <mergeCell ref="F246:I247"/>
    <mergeCell ref="J246:P247"/>
    <mergeCell ref="Q246:R247"/>
    <mergeCell ref="AI248:AP249"/>
    <mergeCell ref="V242:W243"/>
    <mergeCell ref="X242:AD243"/>
    <mergeCell ref="AE242:AH243"/>
    <mergeCell ref="AI242:AP243"/>
    <mergeCell ref="Q240:R241"/>
    <mergeCell ref="V240:W241"/>
    <mergeCell ref="X240:AD241"/>
    <mergeCell ref="AE240:AH241"/>
    <mergeCell ref="B244:B245"/>
    <mergeCell ref="C244:E245"/>
    <mergeCell ref="F244:I245"/>
    <mergeCell ref="J244:P245"/>
    <mergeCell ref="AI240:AP241"/>
    <mergeCell ref="B242:B243"/>
    <mergeCell ref="C242:E243"/>
    <mergeCell ref="F242:I243"/>
    <mergeCell ref="J242:P243"/>
    <mergeCell ref="Q242:R243"/>
    <mergeCell ref="V238:W239"/>
    <mergeCell ref="X238:AD239"/>
    <mergeCell ref="AE238:AH239"/>
    <mergeCell ref="AI238:AP239"/>
    <mergeCell ref="Q236:R237"/>
    <mergeCell ref="V236:W237"/>
    <mergeCell ref="X236:AD237"/>
    <mergeCell ref="AE236:AH237"/>
    <mergeCell ref="B240:B241"/>
    <mergeCell ref="C240:E241"/>
    <mergeCell ref="F240:I241"/>
    <mergeCell ref="J240:P241"/>
    <mergeCell ref="AI236:AP237"/>
    <mergeCell ref="B238:B239"/>
    <mergeCell ref="C238:E239"/>
    <mergeCell ref="F238:I239"/>
    <mergeCell ref="J238:P239"/>
    <mergeCell ref="Q238:R239"/>
    <mergeCell ref="X235:AD235"/>
    <mergeCell ref="AE235:AH235"/>
    <mergeCell ref="AI235:AP235"/>
    <mergeCell ref="C230:D230"/>
    <mergeCell ref="E230:N230"/>
    <mergeCell ref="Q229:R229"/>
    <mergeCell ref="S229:AB229"/>
    <mergeCell ref="B236:B237"/>
    <mergeCell ref="C236:E237"/>
    <mergeCell ref="F236:I237"/>
    <mergeCell ref="J236:P237"/>
    <mergeCell ref="AE228:AF228"/>
    <mergeCell ref="AG228:AP228"/>
    <mergeCell ref="C235:E235"/>
    <mergeCell ref="F235:I235"/>
    <mergeCell ref="J235:P235"/>
    <mergeCell ref="Q235:W235"/>
    <mergeCell ref="AE229:AF229"/>
    <mergeCell ref="AG229:AP229"/>
    <mergeCell ref="AE230:AF230"/>
    <mergeCell ref="AG230:AP230"/>
    <mergeCell ref="AE231:AF231"/>
    <mergeCell ref="AG231:AP231"/>
    <mergeCell ref="AD222:AM222"/>
    <mergeCell ref="B224:AB225"/>
    <mergeCell ref="AC224:AJ225"/>
    <mergeCell ref="AK224:AO225"/>
    <mergeCell ref="D222:I222"/>
    <mergeCell ref="J222:Q222"/>
    <mergeCell ref="R222:Z222"/>
    <mergeCell ref="AA222:AC222"/>
    <mergeCell ref="C231:D231"/>
    <mergeCell ref="E231:N231"/>
    <mergeCell ref="AP224:AQ225"/>
    <mergeCell ref="C226:F226"/>
    <mergeCell ref="G226:O226"/>
    <mergeCell ref="P226:S226"/>
    <mergeCell ref="T226:AB226"/>
    <mergeCell ref="AC226:AF226"/>
    <mergeCell ref="AG226:AL226"/>
    <mergeCell ref="AM226:AO226"/>
    <mergeCell ref="Q230:R230"/>
    <mergeCell ref="S230:AB230"/>
    <mergeCell ref="C229:D229"/>
    <mergeCell ref="E229:N229"/>
    <mergeCell ref="Q228:R228"/>
    <mergeCell ref="S228:AB228"/>
    <mergeCell ref="Q231:R231"/>
    <mergeCell ref="S231:AB231"/>
    <mergeCell ref="C228:D228"/>
    <mergeCell ref="E228:N228"/>
    <mergeCell ref="D219:I219"/>
    <mergeCell ref="J219:Q219"/>
    <mergeCell ref="R219:Z219"/>
    <mergeCell ref="AA219:AC219"/>
    <mergeCell ref="AD219:AM219"/>
    <mergeCell ref="Q216:R217"/>
    <mergeCell ref="V216:W217"/>
    <mergeCell ref="X216:AD217"/>
    <mergeCell ref="AE216:AH217"/>
    <mergeCell ref="AD220:AM220"/>
    <mergeCell ref="D221:I221"/>
    <mergeCell ref="J221:Q221"/>
    <mergeCell ref="R221:Z221"/>
    <mergeCell ref="AA221:AC221"/>
    <mergeCell ref="AD221:AM221"/>
    <mergeCell ref="D220:I220"/>
    <mergeCell ref="J220:Q220"/>
    <mergeCell ref="R220:Z220"/>
    <mergeCell ref="AA220:AC220"/>
    <mergeCell ref="V214:W215"/>
    <mergeCell ref="X214:AD215"/>
    <mergeCell ref="AE214:AH215"/>
    <mergeCell ref="AI214:AP215"/>
    <mergeCell ref="Q212:R213"/>
    <mergeCell ref="V212:W213"/>
    <mergeCell ref="X212:AD213"/>
    <mergeCell ref="AE212:AH213"/>
    <mergeCell ref="B216:B217"/>
    <mergeCell ref="C216:E217"/>
    <mergeCell ref="F216:I217"/>
    <mergeCell ref="J216:P217"/>
    <mergeCell ref="AI212:AP213"/>
    <mergeCell ref="B214:B215"/>
    <mergeCell ref="C214:E215"/>
    <mergeCell ref="F214:I215"/>
    <mergeCell ref="J214:P215"/>
    <mergeCell ref="Q214:R215"/>
    <mergeCell ref="AI216:AP217"/>
    <mergeCell ref="V210:W211"/>
    <mergeCell ref="X210:AD211"/>
    <mergeCell ref="AE210:AH211"/>
    <mergeCell ref="AI210:AP211"/>
    <mergeCell ref="Q208:R209"/>
    <mergeCell ref="V208:W209"/>
    <mergeCell ref="X208:AD209"/>
    <mergeCell ref="AE208:AH209"/>
    <mergeCell ref="B212:B213"/>
    <mergeCell ref="C212:E213"/>
    <mergeCell ref="F212:I213"/>
    <mergeCell ref="J212:P213"/>
    <mergeCell ref="AI208:AP209"/>
    <mergeCell ref="B210:B211"/>
    <mergeCell ref="C210:E211"/>
    <mergeCell ref="F210:I211"/>
    <mergeCell ref="J210:P211"/>
    <mergeCell ref="Q210:R211"/>
    <mergeCell ref="V206:W207"/>
    <mergeCell ref="X206:AD207"/>
    <mergeCell ref="AE206:AH207"/>
    <mergeCell ref="AI206:AP207"/>
    <mergeCell ref="Q204:R205"/>
    <mergeCell ref="V204:W205"/>
    <mergeCell ref="X204:AD205"/>
    <mergeCell ref="AE204:AH205"/>
    <mergeCell ref="B208:B209"/>
    <mergeCell ref="C208:E209"/>
    <mergeCell ref="F208:I209"/>
    <mergeCell ref="J208:P209"/>
    <mergeCell ref="AI204:AP205"/>
    <mergeCell ref="B206:B207"/>
    <mergeCell ref="C206:E207"/>
    <mergeCell ref="F206:I207"/>
    <mergeCell ref="J206:P207"/>
    <mergeCell ref="Q206:R207"/>
    <mergeCell ref="C200:D200"/>
    <mergeCell ref="E200:N200"/>
    <mergeCell ref="Q198:R198"/>
    <mergeCell ref="S198:AB198"/>
    <mergeCell ref="C196:D196"/>
    <mergeCell ref="E196:N196"/>
    <mergeCell ref="X203:AD203"/>
    <mergeCell ref="AE203:AH203"/>
    <mergeCell ref="AI203:AP203"/>
    <mergeCell ref="C198:D198"/>
    <mergeCell ref="E198:N198"/>
    <mergeCell ref="Q196:R196"/>
    <mergeCell ref="S196:AB196"/>
    <mergeCell ref="B204:B205"/>
    <mergeCell ref="C204:E205"/>
    <mergeCell ref="F204:I205"/>
    <mergeCell ref="J204:P205"/>
    <mergeCell ref="Q199:R199"/>
    <mergeCell ref="S199:AB199"/>
    <mergeCell ref="C203:E203"/>
    <mergeCell ref="F203:I203"/>
    <mergeCell ref="J203:P203"/>
    <mergeCell ref="Q203:W203"/>
    <mergeCell ref="Q200:R200"/>
    <mergeCell ref="S200:AB200"/>
    <mergeCell ref="AE196:AF196"/>
    <mergeCell ref="AG196:AP196"/>
    <mergeCell ref="AE197:AF197"/>
    <mergeCell ref="AG197:AP197"/>
    <mergeCell ref="AE198:AF198"/>
    <mergeCell ref="AE200:AF200"/>
    <mergeCell ref="AG200:AP200"/>
    <mergeCell ref="AD190:AM190"/>
    <mergeCell ref="B192:AB193"/>
    <mergeCell ref="AC192:AJ193"/>
    <mergeCell ref="AK192:AO193"/>
    <mergeCell ref="D190:I190"/>
    <mergeCell ref="J190:Q190"/>
    <mergeCell ref="R190:Z190"/>
    <mergeCell ref="AA190:AC190"/>
    <mergeCell ref="C199:D199"/>
    <mergeCell ref="E199:N199"/>
    <mergeCell ref="AP192:AQ193"/>
    <mergeCell ref="C194:F194"/>
    <mergeCell ref="G194:O194"/>
    <mergeCell ref="P194:S194"/>
    <mergeCell ref="T194:AB194"/>
    <mergeCell ref="AC194:AF194"/>
    <mergeCell ref="AG194:AL194"/>
    <mergeCell ref="AM194:AO194"/>
    <mergeCell ref="Q197:R197"/>
    <mergeCell ref="S197:AB197"/>
    <mergeCell ref="AG198:AP198"/>
    <mergeCell ref="AE199:AF199"/>
    <mergeCell ref="AG199:AP199"/>
    <mergeCell ref="C197:D197"/>
    <mergeCell ref="E197:N197"/>
    <mergeCell ref="D187:I187"/>
    <mergeCell ref="J187:Q187"/>
    <mergeCell ref="R187:Z187"/>
    <mergeCell ref="AA187:AC187"/>
    <mergeCell ref="AD187:AM187"/>
    <mergeCell ref="Q184:R185"/>
    <mergeCell ref="V184:W185"/>
    <mergeCell ref="X184:AD185"/>
    <mergeCell ref="AE184:AH185"/>
    <mergeCell ref="AD188:AM188"/>
    <mergeCell ref="D189:I189"/>
    <mergeCell ref="J189:Q189"/>
    <mergeCell ref="R189:Z189"/>
    <mergeCell ref="AA189:AC189"/>
    <mergeCell ref="AD189:AM189"/>
    <mergeCell ref="D188:I188"/>
    <mergeCell ref="J188:Q188"/>
    <mergeCell ref="R188:Z188"/>
    <mergeCell ref="AA188:AC188"/>
    <mergeCell ref="V182:W183"/>
    <mergeCell ref="X182:AD183"/>
    <mergeCell ref="AE182:AH183"/>
    <mergeCell ref="AI182:AP183"/>
    <mergeCell ref="Q180:R181"/>
    <mergeCell ref="V180:W181"/>
    <mergeCell ref="X180:AD181"/>
    <mergeCell ref="AE180:AH181"/>
    <mergeCell ref="B184:B185"/>
    <mergeCell ref="C184:E185"/>
    <mergeCell ref="F184:I185"/>
    <mergeCell ref="J184:P185"/>
    <mergeCell ref="AI180:AP181"/>
    <mergeCell ref="B182:B183"/>
    <mergeCell ref="C182:E183"/>
    <mergeCell ref="F182:I183"/>
    <mergeCell ref="J182:P183"/>
    <mergeCell ref="Q182:R183"/>
    <mergeCell ref="AI184:AP185"/>
    <mergeCell ref="V178:W179"/>
    <mergeCell ref="X178:AD179"/>
    <mergeCell ref="AE178:AH179"/>
    <mergeCell ref="AI178:AP179"/>
    <mergeCell ref="Q176:R177"/>
    <mergeCell ref="V176:W177"/>
    <mergeCell ref="X176:AD177"/>
    <mergeCell ref="AE176:AH177"/>
    <mergeCell ref="B180:B181"/>
    <mergeCell ref="C180:E181"/>
    <mergeCell ref="F180:I181"/>
    <mergeCell ref="J180:P181"/>
    <mergeCell ref="AI176:AP177"/>
    <mergeCell ref="B178:B179"/>
    <mergeCell ref="C178:E179"/>
    <mergeCell ref="F178:I179"/>
    <mergeCell ref="J178:P179"/>
    <mergeCell ref="Q178:R179"/>
    <mergeCell ref="V174:W175"/>
    <mergeCell ref="X174:AD175"/>
    <mergeCell ref="AE174:AH175"/>
    <mergeCell ref="AI174:AP175"/>
    <mergeCell ref="Q172:R173"/>
    <mergeCell ref="V172:W173"/>
    <mergeCell ref="X172:AD173"/>
    <mergeCell ref="AE172:AH173"/>
    <mergeCell ref="B176:B177"/>
    <mergeCell ref="C176:E177"/>
    <mergeCell ref="F176:I177"/>
    <mergeCell ref="J176:P177"/>
    <mergeCell ref="AI172:AP173"/>
    <mergeCell ref="B174:B175"/>
    <mergeCell ref="C174:E175"/>
    <mergeCell ref="F174:I175"/>
    <mergeCell ref="J174:P175"/>
    <mergeCell ref="Q174:R175"/>
    <mergeCell ref="C165:D165"/>
    <mergeCell ref="E165:N165"/>
    <mergeCell ref="Q165:R165"/>
    <mergeCell ref="S165:AB165"/>
    <mergeCell ref="AE165:AF165"/>
    <mergeCell ref="AG165:AP165"/>
    <mergeCell ref="C164:D164"/>
    <mergeCell ref="E164:N164"/>
    <mergeCell ref="X171:AD171"/>
    <mergeCell ref="AE171:AH171"/>
    <mergeCell ref="AI171:AP171"/>
    <mergeCell ref="C166:D166"/>
    <mergeCell ref="E166:N166"/>
    <mergeCell ref="Q166:R166"/>
    <mergeCell ref="S166:AB166"/>
    <mergeCell ref="B172:B173"/>
    <mergeCell ref="C172:E173"/>
    <mergeCell ref="F172:I173"/>
    <mergeCell ref="J172:P173"/>
    <mergeCell ref="AE166:AF166"/>
    <mergeCell ref="AG166:AP166"/>
    <mergeCell ref="C171:E171"/>
    <mergeCell ref="F171:I171"/>
    <mergeCell ref="J171:P171"/>
    <mergeCell ref="Q171:W171"/>
    <mergeCell ref="AD157:AM157"/>
    <mergeCell ref="D158:I158"/>
    <mergeCell ref="J158:Q158"/>
    <mergeCell ref="R158:Z158"/>
    <mergeCell ref="AA158:AC158"/>
    <mergeCell ref="AD158:AM158"/>
    <mergeCell ref="D157:I157"/>
    <mergeCell ref="J157:Q157"/>
    <mergeCell ref="R157:Z157"/>
    <mergeCell ref="AA157:AC157"/>
    <mergeCell ref="Q164:R164"/>
    <mergeCell ref="S164:AB164"/>
    <mergeCell ref="AP160:AQ161"/>
    <mergeCell ref="C162:F162"/>
    <mergeCell ref="G162:O162"/>
    <mergeCell ref="P162:S162"/>
    <mergeCell ref="T162:AB162"/>
    <mergeCell ref="AC162:AF162"/>
    <mergeCell ref="AG162:AL162"/>
    <mergeCell ref="AM162:AO162"/>
    <mergeCell ref="AE164:AF164"/>
    <mergeCell ref="AG164:AP164"/>
    <mergeCell ref="B160:AB161"/>
    <mergeCell ref="AC160:AJ161"/>
    <mergeCell ref="AK160:AO161"/>
    <mergeCell ref="B152:B153"/>
    <mergeCell ref="C152:E153"/>
    <mergeCell ref="F152:I153"/>
    <mergeCell ref="J152:P153"/>
    <mergeCell ref="Q152:R153"/>
    <mergeCell ref="V152:W153"/>
    <mergeCell ref="X152:AD153"/>
    <mergeCell ref="AE152:AH153"/>
    <mergeCell ref="AI152:AP153"/>
    <mergeCell ref="AD155:AM155"/>
    <mergeCell ref="D156:I156"/>
    <mergeCell ref="J156:Q156"/>
    <mergeCell ref="R156:Z156"/>
    <mergeCell ref="AA156:AC156"/>
    <mergeCell ref="AD156:AM156"/>
    <mergeCell ref="D155:I155"/>
    <mergeCell ref="J155:Q155"/>
    <mergeCell ref="R155:Z155"/>
    <mergeCell ref="AA155:AC155"/>
    <mergeCell ref="B148:B149"/>
    <mergeCell ref="C148:E149"/>
    <mergeCell ref="F148:I149"/>
    <mergeCell ref="J148:P149"/>
    <mergeCell ref="Q148:R149"/>
    <mergeCell ref="V148:W149"/>
    <mergeCell ref="X148:AD149"/>
    <mergeCell ref="AE148:AH149"/>
    <mergeCell ref="AI148:AP149"/>
    <mergeCell ref="Q150:R151"/>
    <mergeCell ref="V150:W151"/>
    <mergeCell ref="X150:AD151"/>
    <mergeCell ref="AE150:AH151"/>
    <mergeCell ref="B150:B151"/>
    <mergeCell ref="C150:E151"/>
    <mergeCell ref="F150:I151"/>
    <mergeCell ref="J150:P151"/>
    <mergeCell ref="AI150:AP151"/>
    <mergeCell ref="B144:B145"/>
    <mergeCell ref="C144:E145"/>
    <mergeCell ref="F144:I145"/>
    <mergeCell ref="J144:P145"/>
    <mergeCell ref="Q144:R145"/>
    <mergeCell ref="V144:W145"/>
    <mergeCell ref="X144:AD145"/>
    <mergeCell ref="AE144:AH145"/>
    <mergeCell ref="AI144:AP145"/>
    <mergeCell ref="Q146:R147"/>
    <mergeCell ref="V146:W147"/>
    <mergeCell ref="X146:AD147"/>
    <mergeCell ref="AE146:AH147"/>
    <mergeCell ref="B146:B147"/>
    <mergeCell ref="C146:E147"/>
    <mergeCell ref="F146:I147"/>
    <mergeCell ref="J146:P147"/>
    <mergeCell ref="AI146:AP147"/>
    <mergeCell ref="X139:AD139"/>
    <mergeCell ref="AE139:AH139"/>
    <mergeCell ref="AI139:AP139"/>
    <mergeCell ref="B140:B141"/>
    <mergeCell ref="C140:E141"/>
    <mergeCell ref="F140:I141"/>
    <mergeCell ref="J140:P141"/>
    <mergeCell ref="Q140:R141"/>
    <mergeCell ref="V140:W141"/>
    <mergeCell ref="X140:AD141"/>
    <mergeCell ref="AE140:AH141"/>
    <mergeCell ref="AI140:AP141"/>
    <mergeCell ref="B142:B143"/>
    <mergeCell ref="C142:E143"/>
    <mergeCell ref="F142:I143"/>
    <mergeCell ref="J142:P143"/>
    <mergeCell ref="Q142:R143"/>
    <mergeCell ref="V142:W143"/>
    <mergeCell ref="X142:AD143"/>
    <mergeCell ref="AE142:AH143"/>
    <mergeCell ref="AI142:AP143"/>
    <mergeCell ref="C139:E139"/>
    <mergeCell ref="F139:I139"/>
    <mergeCell ref="J139:P139"/>
    <mergeCell ref="Q139:W139"/>
    <mergeCell ref="B118:B119"/>
    <mergeCell ref="C118:E119"/>
    <mergeCell ref="F118:I119"/>
    <mergeCell ref="J118:P119"/>
    <mergeCell ref="B120:B121"/>
    <mergeCell ref="C120:E121"/>
    <mergeCell ref="F120:I121"/>
    <mergeCell ref="AP128:AQ129"/>
    <mergeCell ref="B65:AB66"/>
    <mergeCell ref="AC65:AJ66"/>
    <mergeCell ref="AK65:AO66"/>
    <mergeCell ref="AP65:AQ66"/>
    <mergeCell ref="B32:AB33"/>
    <mergeCell ref="AC32:AJ33"/>
    <mergeCell ref="AK32:AO33"/>
    <mergeCell ref="AP32:AQ33"/>
    <mergeCell ref="AA126:AC126"/>
    <mergeCell ref="B128:AB129"/>
    <mergeCell ref="AC128:AJ129"/>
    <mergeCell ref="AK128:AO129"/>
    <mergeCell ref="AD126:AM126"/>
    <mergeCell ref="D125:I125"/>
    <mergeCell ref="J125:Q125"/>
    <mergeCell ref="R125:Z125"/>
    <mergeCell ref="AA125:AC125"/>
    <mergeCell ref="AD123:AM123"/>
    <mergeCell ref="D124:I124"/>
    <mergeCell ref="J124:Q124"/>
    <mergeCell ref="R124:Z124"/>
    <mergeCell ref="AA124:AC124"/>
    <mergeCell ref="J120:P121"/>
    <mergeCell ref="Q120:R121"/>
    <mergeCell ref="AD125:AM125"/>
    <mergeCell ref="D126:I126"/>
    <mergeCell ref="J126:Q126"/>
    <mergeCell ref="R126:Z126"/>
    <mergeCell ref="C132:D132"/>
    <mergeCell ref="E132:N132"/>
    <mergeCell ref="Q132:R132"/>
    <mergeCell ref="S132:AB132"/>
    <mergeCell ref="AE132:AF132"/>
    <mergeCell ref="AG132:AP132"/>
    <mergeCell ref="AE134:AF134"/>
    <mergeCell ref="AG134:AP134"/>
    <mergeCell ref="C133:D133"/>
    <mergeCell ref="E133:N133"/>
    <mergeCell ref="Q133:R133"/>
    <mergeCell ref="S133:AB133"/>
    <mergeCell ref="G130:O130"/>
    <mergeCell ref="P130:S130"/>
    <mergeCell ref="T130:AB130"/>
    <mergeCell ref="AC130:AF130"/>
    <mergeCell ref="AG130:AL130"/>
    <mergeCell ref="AM130:AO130"/>
    <mergeCell ref="C130:F130"/>
    <mergeCell ref="AE133:AF133"/>
    <mergeCell ref="AG133:AP133"/>
    <mergeCell ref="C134:D134"/>
    <mergeCell ref="E134:N134"/>
    <mergeCell ref="Q134:R134"/>
    <mergeCell ref="S134:AB134"/>
    <mergeCell ref="V120:W121"/>
    <mergeCell ref="AD124:AM124"/>
    <mergeCell ref="D123:I123"/>
    <mergeCell ref="J123:Q123"/>
    <mergeCell ref="R123:Z123"/>
    <mergeCell ref="AA123:AC123"/>
    <mergeCell ref="AI118:AP119"/>
    <mergeCell ref="X120:AD121"/>
    <mergeCell ref="AE120:AH121"/>
    <mergeCell ref="AI120:AP121"/>
    <mergeCell ref="Q118:R119"/>
    <mergeCell ref="Q114:R115"/>
    <mergeCell ref="V114:W115"/>
    <mergeCell ref="X114:AD115"/>
    <mergeCell ref="AE114:AH115"/>
    <mergeCell ref="B114:B115"/>
    <mergeCell ref="C114:E115"/>
    <mergeCell ref="F114:I115"/>
    <mergeCell ref="J114:P115"/>
    <mergeCell ref="AI114:AP115"/>
    <mergeCell ref="B116:B117"/>
    <mergeCell ref="C116:E117"/>
    <mergeCell ref="F116:I117"/>
    <mergeCell ref="J116:P117"/>
    <mergeCell ref="Q116:R117"/>
    <mergeCell ref="V116:W117"/>
    <mergeCell ref="X116:AD117"/>
    <mergeCell ref="AE116:AH117"/>
    <mergeCell ref="AI116:AP117"/>
    <mergeCell ref="V118:W119"/>
    <mergeCell ref="X118:AD119"/>
    <mergeCell ref="AE118:AH119"/>
    <mergeCell ref="B110:B111"/>
    <mergeCell ref="C110:E111"/>
    <mergeCell ref="F110:I111"/>
    <mergeCell ref="J110:P111"/>
    <mergeCell ref="Q110:R111"/>
    <mergeCell ref="V110:W111"/>
    <mergeCell ref="X110:AD111"/>
    <mergeCell ref="AE110:AH111"/>
    <mergeCell ref="AI110:AP111"/>
    <mergeCell ref="B112:B113"/>
    <mergeCell ref="C112:E113"/>
    <mergeCell ref="F112:I113"/>
    <mergeCell ref="J112:P113"/>
    <mergeCell ref="Q112:R113"/>
    <mergeCell ref="V112:W113"/>
    <mergeCell ref="X112:AD113"/>
    <mergeCell ref="AE112:AH113"/>
    <mergeCell ref="AI112:AP113"/>
    <mergeCell ref="C107:E107"/>
    <mergeCell ref="F107:I107"/>
    <mergeCell ref="J107:P107"/>
    <mergeCell ref="Q107:W107"/>
    <mergeCell ref="AE101:AF101"/>
    <mergeCell ref="AG101:AP101"/>
    <mergeCell ref="C102:D102"/>
    <mergeCell ref="E102:N102"/>
    <mergeCell ref="Q102:R102"/>
    <mergeCell ref="S102:AB102"/>
    <mergeCell ref="X107:AD107"/>
    <mergeCell ref="AE107:AH107"/>
    <mergeCell ref="AI107:AP107"/>
    <mergeCell ref="B108:B109"/>
    <mergeCell ref="C108:E109"/>
    <mergeCell ref="F108:I109"/>
    <mergeCell ref="J108:P109"/>
    <mergeCell ref="Q108:R109"/>
    <mergeCell ref="V108:W109"/>
    <mergeCell ref="X108:AD109"/>
    <mergeCell ref="AE108:AH109"/>
    <mergeCell ref="AI108:AP109"/>
    <mergeCell ref="G98:O98"/>
    <mergeCell ref="P98:S98"/>
    <mergeCell ref="T98:AB98"/>
    <mergeCell ref="B96:AB97"/>
    <mergeCell ref="AC96:AJ97"/>
    <mergeCell ref="AK96:AO97"/>
    <mergeCell ref="AC98:AF98"/>
    <mergeCell ref="AG98:AL98"/>
    <mergeCell ref="AM98:AO98"/>
    <mergeCell ref="C100:D100"/>
    <mergeCell ref="E100:N100"/>
    <mergeCell ref="Q100:R100"/>
    <mergeCell ref="S100:AB100"/>
    <mergeCell ref="AE100:AF100"/>
    <mergeCell ref="AG100:AP100"/>
    <mergeCell ref="C98:F98"/>
    <mergeCell ref="AE102:AF102"/>
    <mergeCell ref="AG102:AP102"/>
    <mergeCell ref="C101:D101"/>
    <mergeCell ref="E101:N101"/>
    <mergeCell ref="Q101:R101"/>
    <mergeCell ref="S101:AB101"/>
    <mergeCell ref="AD93:AM93"/>
    <mergeCell ref="AE88:AH89"/>
    <mergeCell ref="AI88:AP89"/>
    <mergeCell ref="AD91:AM91"/>
    <mergeCell ref="AE86:AH87"/>
    <mergeCell ref="AI86:AP87"/>
    <mergeCell ref="AA93:AC93"/>
    <mergeCell ref="D94:I94"/>
    <mergeCell ref="J94:Q94"/>
    <mergeCell ref="R94:Z94"/>
    <mergeCell ref="AA94:AC94"/>
    <mergeCell ref="D91:I91"/>
    <mergeCell ref="J91:Q91"/>
    <mergeCell ref="R91:Z91"/>
    <mergeCell ref="AA91:AC91"/>
    <mergeCell ref="AP96:AQ97"/>
    <mergeCell ref="AD94:AM94"/>
    <mergeCell ref="D92:I92"/>
    <mergeCell ref="J92:Q92"/>
    <mergeCell ref="R92:Z92"/>
    <mergeCell ref="AA92:AC92"/>
    <mergeCell ref="AD92:AM92"/>
    <mergeCell ref="D93:I93"/>
    <mergeCell ref="J93:Q93"/>
    <mergeCell ref="R93:Z93"/>
    <mergeCell ref="V86:W87"/>
    <mergeCell ref="V88:W89"/>
    <mergeCell ref="B86:B87"/>
    <mergeCell ref="C86:E87"/>
    <mergeCell ref="X84:AD85"/>
    <mergeCell ref="F86:I87"/>
    <mergeCell ref="J86:P87"/>
    <mergeCell ref="X86:AD87"/>
    <mergeCell ref="C84:E85"/>
    <mergeCell ref="B88:B89"/>
    <mergeCell ref="C88:E89"/>
    <mergeCell ref="F88:I89"/>
    <mergeCell ref="J88:P89"/>
    <mergeCell ref="Q88:R89"/>
    <mergeCell ref="Q86:R87"/>
    <mergeCell ref="X88:AD89"/>
    <mergeCell ref="AE82:AH83"/>
    <mergeCell ref="Q80:R81"/>
    <mergeCell ref="V80:W81"/>
    <mergeCell ref="V82:W83"/>
    <mergeCell ref="X82:AD83"/>
    <mergeCell ref="B84:B85"/>
    <mergeCell ref="AI82:AP83"/>
    <mergeCell ref="X78:AD79"/>
    <mergeCell ref="AE78:AH79"/>
    <mergeCell ref="AI78:AP79"/>
    <mergeCell ref="AE80:AH81"/>
    <mergeCell ref="AI80:AP81"/>
    <mergeCell ref="X80:AD81"/>
    <mergeCell ref="F84:I85"/>
    <mergeCell ref="J84:P85"/>
    <mergeCell ref="Q84:R85"/>
    <mergeCell ref="AE84:AH85"/>
    <mergeCell ref="AI84:AP85"/>
    <mergeCell ref="B82:B83"/>
    <mergeCell ref="C82:E83"/>
    <mergeCell ref="F82:I83"/>
    <mergeCell ref="J82:P83"/>
    <mergeCell ref="Q82:R83"/>
    <mergeCell ref="F78:I79"/>
    <mergeCell ref="J78:P79"/>
    <mergeCell ref="V84:W85"/>
    <mergeCell ref="C75:E75"/>
    <mergeCell ref="F75:I75"/>
    <mergeCell ref="J75:P75"/>
    <mergeCell ref="C71:D71"/>
    <mergeCell ref="E71:N71"/>
    <mergeCell ref="Q71:R71"/>
    <mergeCell ref="S71:AB71"/>
    <mergeCell ref="B80:B81"/>
    <mergeCell ref="AI75:AP75"/>
    <mergeCell ref="B76:B77"/>
    <mergeCell ref="C76:E77"/>
    <mergeCell ref="F76:I77"/>
    <mergeCell ref="J76:P77"/>
    <mergeCell ref="Q76:R77"/>
    <mergeCell ref="V76:W77"/>
    <mergeCell ref="B78:B79"/>
    <mergeCell ref="C78:E79"/>
    <mergeCell ref="X76:AD77"/>
    <mergeCell ref="AE76:AH77"/>
    <mergeCell ref="AI76:AP77"/>
    <mergeCell ref="AE75:AH75"/>
    <mergeCell ref="Q78:R79"/>
    <mergeCell ref="V78:W79"/>
    <mergeCell ref="X75:AD75"/>
    <mergeCell ref="Q75:W75"/>
    <mergeCell ref="C80:E81"/>
    <mergeCell ref="F80:I81"/>
    <mergeCell ref="J80:P81"/>
    <mergeCell ref="AG70:AP70"/>
    <mergeCell ref="AM67:AO67"/>
    <mergeCell ref="C69:D69"/>
    <mergeCell ref="E69:N69"/>
    <mergeCell ref="Q69:R69"/>
    <mergeCell ref="S69:AB69"/>
    <mergeCell ref="AE69:AF69"/>
    <mergeCell ref="AG69:AP69"/>
    <mergeCell ref="AG67:AL67"/>
    <mergeCell ref="C67:F67"/>
    <mergeCell ref="AC67:AF67"/>
    <mergeCell ref="AE70:AF70"/>
    <mergeCell ref="AE71:AF71"/>
    <mergeCell ref="C70:D70"/>
    <mergeCell ref="E70:N70"/>
    <mergeCell ref="Q70:R70"/>
    <mergeCell ref="S70:AB70"/>
    <mergeCell ref="AG71:AP71"/>
    <mergeCell ref="D60:I60"/>
    <mergeCell ref="J60:Q60"/>
    <mergeCell ref="R60:Z60"/>
    <mergeCell ref="AA60:AC60"/>
    <mergeCell ref="AD60:AM60"/>
    <mergeCell ref="AD61:AM61"/>
    <mergeCell ref="D62:I62"/>
    <mergeCell ref="J62:Q62"/>
    <mergeCell ref="R62:Z62"/>
    <mergeCell ref="AA62:AC62"/>
    <mergeCell ref="AD62:AM62"/>
    <mergeCell ref="D61:I61"/>
    <mergeCell ref="J61:Q61"/>
    <mergeCell ref="R61:Z61"/>
    <mergeCell ref="AA61:AC61"/>
    <mergeCell ref="AD63:AM63"/>
    <mergeCell ref="G67:O67"/>
    <mergeCell ref="P67:S67"/>
    <mergeCell ref="T67:AB67"/>
    <mergeCell ref="D63:I63"/>
    <mergeCell ref="J63:Q63"/>
    <mergeCell ref="R63:Z63"/>
    <mergeCell ref="AA63:AC63"/>
    <mergeCell ref="V51:W52"/>
    <mergeCell ref="X51:AD52"/>
    <mergeCell ref="V53:W54"/>
    <mergeCell ref="B55:B56"/>
    <mergeCell ref="C55:E56"/>
    <mergeCell ref="X53:AD54"/>
    <mergeCell ref="F55:I56"/>
    <mergeCell ref="J55:P56"/>
    <mergeCell ref="X55:AD56"/>
    <mergeCell ref="C53:E54"/>
    <mergeCell ref="F53:I54"/>
    <mergeCell ref="J53:P54"/>
    <mergeCell ref="AE55:AH56"/>
    <mergeCell ref="AI55:AP56"/>
    <mergeCell ref="B57:B58"/>
    <mergeCell ref="C57:E58"/>
    <mergeCell ref="F57:I58"/>
    <mergeCell ref="J57:P58"/>
    <mergeCell ref="Q57:R58"/>
    <mergeCell ref="Q55:R56"/>
    <mergeCell ref="V55:W56"/>
    <mergeCell ref="V57:W58"/>
    <mergeCell ref="X57:AD58"/>
    <mergeCell ref="AE57:AH58"/>
    <mergeCell ref="AI57:AP58"/>
    <mergeCell ref="B49:B50"/>
    <mergeCell ref="AI44:AP44"/>
    <mergeCell ref="B45:B46"/>
    <mergeCell ref="C45:E46"/>
    <mergeCell ref="F45:I46"/>
    <mergeCell ref="J45:P46"/>
    <mergeCell ref="J49:P50"/>
    <mergeCell ref="AE51:AH52"/>
    <mergeCell ref="Q49:R50"/>
    <mergeCell ref="V49:W50"/>
    <mergeCell ref="X45:AD46"/>
    <mergeCell ref="AE45:AH46"/>
    <mergeCell ref="Q45:R46"/>
    <mergeCell ref="V45:W46"/>
    <mergeCell ref="B53:B54"/>
    <mergeCell ref="AI51:AP52"/>
    <mergeCell ref="X47:AD48"/>
    <mergeCell ref="AE47:AH48"/>
    <mergeCell ref="AI47:AP48"/>
    <mergeCell ref="AE49:AH50"/>
    <mergeCell ref="AI49:AP50"/>
    <mergeCell ref="X49:AD50"/>
    <mergeCell ref="C49:E50"/>
    <mergeCell ref="F49:I50"/>
    <mergeCell ref="Q53:R54"/>
    <mergeCell ref="AE53:AH54"/>
    <mergeCell ref="AI53:AP54"/>
    <mergeCell ref="B51:B52"/>
    <mergeCell ref="C51:E52"/>
    <mergeCell ref="F51:I52"/>
    <mergeCell ref="J51:P52"/>
    <mergeCell ref="Q51:R52"/>
    <mergeCell ref="X44:AD44"/>
    <mergeCell ref="Q44:W44"/>
    <mergeCell ref="AC35:AF35"/>
    <mergeCell ref="AE38:AF38"/>
    <mergeCell ref="AE39:AF39"/>
    <mergeCell ref="AE37:AF37"/>
    <mergeCell ref="B47:B48"/>
    <mergeCell ref="C47:E48"/>
    <mergeCell ref="F47:I48"/>
    <mergeCell ref="J47:P48"/>
    <mergeCell ref="AG39:AP39"/>
    <mergeCell ref="C44:E44"/>
    <mergeCell ref="F44:I44"/>
    <mergeCell ref="J44:P44"/>
    <mergeCell ref="C39:D39"/>
    <mergeCell ref="E39:N39"/>
    <mergeCell ref="AI45:AP46"/>
    <mergeCell ref="AE44:AH44"/>
    <mergeCell ref="Q47:R48"/>
    <mergeCell ref="V47:W48"/>
    <mergeCell ref="AG37:AP37"/>
    <mergeCell ref="AG35:AL35"/>
    <mergeCell ref="C35:F35"/>
    <mergeCell ref="G35:O35"/>
    <mergeCell ref="P35:S35"/>
    <mergeCell ref="T35:AB35"/>
    <mergeCell ref="C38:D38"/>
    <mergeCell ref="E38:N38"/>
    <mergeCell ref="Q38:R38"/>
    <mergeCell ref="S38:AB38"/>
    <mergeCell ref="AG38:AP38"/>
    <mergeCell ref="AM35:AO35"/>
    <mergeCell ref="C37:D37"/>
    <mergeCell ref="E37:N37"/>
    <mergeCell ref="Q37:R37"/>
    <mergeCell ref="S37:AB37"/>
    <mergeCell ref="Q39:R39"/>
    <mergeCell ref="S39:AB39"/>
    <mergeCell ref="AA29:AC29"/>
    <mergeCell ref="X25:AD26"/>
    <mergeCell ref="AE25:AH26"/>
    <mergeCell ref="AI25:AP26"/>
    <mergeCell ref="D28:I28"/>
    <mergeCell ref="J28:Q28"/>
    <mergeCell ref="R28:Z28"/>
    <mergeCell ref="AA28:AC28"/>
    <mergeCell ref="AD28:AM28"/>
    <mergeCell ref="AA31:AC31"/>
    <mergeCell ref="AD29:AM29"/>
    <mergeCell ref="D30:I30"/>
    <mergeCell ref="J30:Q30"/>
    <mergeCell ref="R30:Z30"/>
    <mergeCell ref="AA30:AC30"/>
    <mergeCell ref="AD30:AM30"/>
    <mergeCell ref="D29:I29"/>
    <mergeCell ref="J29:Q29"/>
    <mergeCell ref="R29:Z29"/>
    <mergeCell ref="AD31:AM31"/>
    <mergeCell ref="D31:I31"/>
    <mergeCell ref="J31:Q31"/>
    <mergeCell ref="R31:Z31"/>
    <mergeCell ref="B23:B24"/>
    <mergeCell ref="C23:E24"/>
    <mergeCell ref="X21:AD22"/>
    <mergeCell ref="F23:I24"/>
    <mergeCell ref="J23:P24"/>
    <mergeCell ref="X23:AD24"/>
    <mergeCell ref="C21:E22"/>
    <mergeCell ref="F21:I22"/>
    <mergeCell ref="J21:P22"/>
    <mergeCell ref="AE23:AH24"/>
    <mergeCell ref="AI23:AP24"/>
    <mergeCell ref="B25:B26"/>
    <mergeCell ref="C25:E26"/>
    <mergeCell ref="F25:I26"/>
    <mergeCell ref="J25:P26"/>
    <mergeCell ref="Q25:R26"/>
    <mergeCell ref="Q23:R24"/>
    <mergeCell ref="V23:W24"/>
    <mergeCell ref="V25:W26"/>
    <mergeCell ref="Q17:R18"/>
    <mergeCell ref="V17:W18"/>
    <mergeCell ref="X17:AD18"/>
    <mergeCell ref="X15:AD16"/>
    <mergeCell ref="AE15:AH16"/>
    <mergeCell ref="AI15:AP16"/>
    <mergeCell ref="Q15:R16"/>
    <mergeCell ref="V15:W16"/>
    <mergeCell ref="AI19:AP20"/>
    <mergeCell ref="AE17:AH18"/>
    <mergeCell ref="AI17:AP18"/>
    <mergeCell ref="B17:B18"/>
    <mergeCell ref="C17:E18"/>
    <mergeCell ref="F17:I18"/>
    <mergeCell ref="J17:P18"/>
    <mergeCell ref="B21:B22"/>
    <mergeCell ref="B15:B16"/>
    <mergeCell ref="C15:E16"/>
    <mergeCell ref="F15:I16"/>
    <mergeCell ref="J15:P16"/>
    <mergeCell ref="AE19:AH20"/>
    <mergeCell ref="Q21:R22"/>
    <mergeCell ref="AE21:AH22"/>
    <mergeCell ref="AI21:AP22"/>
    <mergeCell ref="B19:B20"/>
    <mergeCell ref="C19:E20"/>
    <mergeCell ref="F19:I20"/>
    <mergeCell ref="J19:P20"/>
    <mergeCell ref="Q19:R20"/>
    <mergeCell ref="V19:W20"/>
    <mergeCell ref="X19:AD20"/>
    <mergeCell ref="V21:W22"/>
    <mergeCell ref="X12:AD12"/>
    <mergeCell ref="AE12:AH12"/>
    <mergeCell ref="C7:D7"/>
    <mergeCell ref="E7:N7"/>
    <mergeCell ref="Q7:R7"/>
    <mergeCell ref="S7:AB7"/>
    <mergeCell ref="AE7:AF7"/>
    <mergeCell ref="AG7:AP7"/>
    <mergeCell ref="C12:E12"/>
    <mergeCell ref="F12:I12"/>
    <mergeCell ref="J12:P12"/>
    <mergeCell ref="Q12:W12"/>
    <mergeCell ref="AI12:AP12"/>
    <mergeCell ref="B13:B14"/>
    <mergeCell ref="C13:E14"/>
    <mergeCell ref="F13:I14"/>
    <mergeCell ref="J13:P14"/>
    <mergeCell ref="Q13:R14"/>
    <mergeCell ref="V13:W14"/>
    <mergeCell ref="X13:AD14"/>
    <mergeCell ref="AE13:AH14"/>
    <mergeCell ref="AI13:AP14"/>
    <mergeCell ref="C5:D5"/>
    <mergeCell ref="E5:N5"/>
    <mergeCell ref="Q5:R5"/>
    <mergeCell ref="S5:AB5"/>
    <mergeCell ref="AM3:AO3"/>
    <mergeCell ref="AP1:AQ2"/>
    <mergeCell ref="AE5:AF5"/>
    <mergeCell ref="AG5:AP5"/>
    <mergeCell ref="C6:D6"/>
    <mergeCell ref="E6:N6"/>
    <mergeCell ref="Q6:R6"/>
    <mergeCell ref="S6:AB6"/>
    <mergeCell ref="AE6:AF6"/>
    <mergeCell ref="AG6:AP6"/>
    <mergeCell ref="C3:F3"/>
    <mergeCell ref="G3:O3"/>
    <mergeCell ref="P3:S3"/>
    <mergeCell ref="T3:AB3"/>
    <mergeCell ref="AC3:AF3"/>
    <mergeCell ref="AG3:AL3"/>
    <mergeCell ref="B1:AB2"/>
    <mergeCell ref="AC1:AJ2"/>
    <mergeCell ref="AK1:AO2"/>
  </mergeCells>
  <phoneticPr fontId="25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6" pageOrder="overThenDown" orientation="landscape" horizontalDpi="300" verticalDpi="300" r:id="rId1"/>
  <headerFooter>
    <oddFooter>&amp;RVer.4.20.2</oddFooter>
  </headerFooter>
  <rowBreaks count="12" manualBreakCount="12">
    <brk id="31" max="42" man="1"/>
    <brk id="63" max="42" man="1"/>
    <brk id="95" max="42" man="1"/>
    <brk id="126" max="42" man="1"/>
    <brk id="158" max="42" man="1"/>
    <brk id="190" max="42" man="1"/>
    <brk id="222" max="42" man="1"/>
    <brk id="254" max="42" man="1"/>
    <brk id="286" max="42" man="1"/>
    <brk id="318" max="42" man="1"/>
    <brk id="350" max="42" man="1"/>
    <brk id="382" max="4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Z382"/>
  <sheetViews>
    <sheetView zoomScaleNormal="100" zoomScaleSheetLayoutView="90" workbookViewId="0">
      <pane xSplit="47" ySplit="2" topLeftCell="AV3" activePane="bottomRight" state="frozen"/>
      <selection pane="topRight" activeCell="AV1" sqref="AV1"/>
      <selection pane="bottomLeft" activeCell="A3" sqref="A3"/>
      <selection pane="bottomRight" activeCell="AW7" sqref="AW7"/>
    </sheetView>
  </sheetViews>
  <sheetFormatPr defaultRowHeight="14.25" x14ac:dyDescent="0.4"/>
  <cols>
    <col min="1" max="1" width="3.125" style="1" customWidth="1"/>
    <col min="2" max="2" width="5" style="1" customWidth="1"/>
    <col min="3" max="4" width="3.125" style="1" customWidth="1"/>
    <col min="5" max="5" width="4.5" style="1" customWidth="1"/>
    <col min="6" max="43" width="3.125" style="1" customWidth="1"/>
    <col min="44" max="44" width="9.125" style="1" hidden="1" customWidth="1"/>
    <col min="45" max="45" width="7.5" style="1" hidden="1" customWidth="1"/>
    <col min="46" max="46" width="9" style="1" hidden="1" customWidth="1"/>
    <col min="47" max="47" width="9" style="2" hidden="1" customWidth="1"/>
    <col min="48" max="48" width="9" style="2"/>
    <col min="49" max="16384" width="9" style="1"/>
  </cols>
  <sheetData>
    <row r="1" spans="1:45" ht="14.25" customHeight="1" x14ac:dyDescent="0.4">
      <c r="A1" s="115"/>
      <c r="B1" s="599" t="str">
        <f>U12組合せ!$B$1</f>
        <v>ＪＦＡ　Ｕ-１２サッカーリーグ2021（in栃木） 宇都宮地区リーグ戦（前期）</v>
      </c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599"/>
      <c r="AA1" s="599"/>
      <c r="AB1" s="599"/>
      <c r="AC1" s="612" t="str">
        <f>"【"&amp;(U12組合せ!$J$3)&amp;"】"</f>
        <v>【Ｄ ブロック】</v>
      </c>
      <c r="AD1" s="612"/>
      <c r="AE1" s="612"/>
      <c r="AF1" s="612"/>
      <c r="AG1" s="612"/>
      <c r="AH1" s="612"/>
      <c r="AI1" s="612"/>
      <c r="AJ1" s="612"/>
      <c r="AK1" s="602" t="str">
        <f>"第"&amp;(U12組合せ!$D$21)</f>
        <v>第１節</v>
      </c>
      <c r="AL1" s="602"/>
      <c r="AM1" s="602"/>
      <c r="AN1" s="602"/>
      <c r="AO1" s="602"/>
      <c r="AP1" s="597" t="s">
        <v>299</v>
      </c>
      <c r="AQ1" s="598"/>
    </row>
    <row r="2" spans="1:45" ht="30" customHeight="1" x14ac:dyDescent="0.4">
      <c r="A2" s="115"/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601"/>
      <c r="AD2" s="601"/>
      <c r="AE2" s="601"/>
      <c r="AF2" s="601"/>
      <c r="AG2" s="601"/>
      <c r="AH2" s="601"/>
      <c r="AI2" s="601"/>
      <c r="AJ2" s="601"/>
      <c r="AK2" s="601"/>
      <c r="AL2" s="601"/>
      <c r="AM2" s="601"/>
      <c r="AN2" s="601"/>
      <c r="AO2" s="601"/>
      <c r="AP2" s="598"/>
      <c r="AQ2" s="598"/>
    </row>
    <row r="3" spans="1:45" ht="27.75" customHeight="1" x14ac:dyDescent="0.4">
      <c r="C3" s="808" t="s">
        <v>1</v>
      </c>
      <c r="D3" s="808"/>
      <c r="E3" s="808"/>
      <c r="F3" s="808"/>
      <c r="G3" s="809" t="str">
        <f>U12対戦スケジュール!U6</f>
        <v>石井 5 AM</v>
      </c>
      <c r="H3" s="810"/>
      <c r="I3" s="810"/>
      <c r="J3" s="810"/>
      <c r="K3" s="810"/>
      <c r="L3" s="810"/>
      <c r="M3" s="810"/>
      <c r="N3" s="810"/>
      <c r="O3" s="811"/>
      <c r="P3" s="808" t="s">
        <v>0</v>
      </c>
      <c r="Q3" s="808"/>
      <c r="R3" s="808"/>
      <c r="S3" s="808"/>
      <c r="T3" s="807" t="str">
        <f ca="1">X13</f>
        <v>FCみらいV</v>
      </c>
      <c r="U3" s="807"/>
      <c r="V3" s="807"/>
      <c r="W3" s="807"/>
      <c r="X3" s="807"/>
      <c r="Y3" s="807"/>
      <c r="Z3" s="807"/>
      <c r="AA3" s="807"/>
      <c r="AB3" s="807"/>
      <c r="AC3" s="808" t="s">
        <v>2</v>
      </c>
      <c r="AD3" s="808"/>
      <c r="AE3" s="808"/>
      <c r="AF3" s="808"/>
      <c r="AG3" s="812">
        <f>U12対戦スケジュール!F3</f>
        <v>44296</v>
      </c>
      <c r="AH3" s="813"/>
      <c r="AI3" s="813"/>
      <c r="AJ3" s="813"/>
      <c r="AK3" s="813"/>
      <c r="AL3" s="813"/>
      <c r="AM3" s="805" t="str">
        <f>"（"&amp;TEXT(AG3,"aaa")&amp;"）"</f>
        <v>（土）</v>
      </c>
      <c r="AN3" s="805"/>
      <c r="AO3" s="806"/>
    </row>
    <row r="4" spans="1:45" ht="15" customHeight="1" x14ac:dyDescent="0.4">
      <c r="C4" s="1" t="str">
        <f>U12組合せ!K22</f>
        <v>D123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7"/>
      <c r="X4" s="7"/>
      <c r="Y4" s="7"/>
      <c r="Z4" s="7"/>
      <c r="AA4" s="7"/>
      <c r="AB4" s="7"/>
      <c r="AC4" s="7"/>
    </row>
    <row r="5" spans="1:45" ht="29.25" customHeight="1" x14ac:dyDescent="0.4">
      <c r="C5" s="807">
        <v>1</v>
      </c>
      <c r="D5" s="807"/>
      <c r="E5" s="802" t="str">
        <f>VLOOKUP(C5,U12組合せ!B$10:$K$19,9,TRUE)</f>
        <v>FCブロケード</v>
      </c>
      <c r="F5" s="802"/>
      <c r="G5" s="802"/>
      <c r="H5" s="802"/>
      <c r="I5" s="802"/>
      <c r="J5" s="802"/>
      <c r="K5" s="802"/>
      <c r="L5" s="802"/>
      <c r="M5" s="802"/>
      <c r="N5" s="802"/>
      <c r="O5" s="89"/>
      <c r="P5" s="89"/>
      <c r="Q5" s="803">
        <v>4</v>
      </c>
      <c r="R5" s="803"/>
      <c r="S5" s="804" t="str">
        <f>VLOOKUP(Q5,U12組合せ!$B$10:$K$19,9,TRUE)</f>
        <v>清原フューチャーズ</v>
      </c>
      <c r="T5" s="804"/>
      <c r="U5" s="804"/>
      <c r="V5" s="804"/>
      <c r="W5" s="804"/>
      <c r="X5" s="804"/>
      <c r="Y5" s="804"/>
      <c r="Z5" s="804"/>
      <c r="AA5" s="804"/>
      <c r="AB5" s="804"/>
      <c r="AC5" s="91"/>
      <c r="AD5" s="90"/>
      <c r="AE5" s="803">
        <v>7</v>
      </c>
      <c r="AF5" s="803"/>
      <c r="AG5" s="804" t="str">
        <f>VLOOKUP(AE5,U12組合せ!$B$10:$K$19,9,TRUE)</f>
        <v>宝木キッカーズ</v>
      </c>
      <c r="AH5" s="804"/>
      <c r="AI5" s="804"/>
      <c r="AJ5" s="804"/>
      <c r="AK5" s="804"/>
      <c r="AL5" s="804"/>
      <c r="AM5" s="804"/>
      <c r="AN5" s="804"/>
      <c r="AO5" s="804"/>
      <c r="AP5" s="804"/>
      <c r="AR5" s="1">
        <f>12/2</f>
        <v>6</v>
      </c>
    </row>
    <row r="6" spans="1:45" ht="29.25" customHeight="1" x14ac:dyDescent="0.4">
      <c r="C6" s="807">
        <v>2</v>
      </c>
      <c r="D6" s="807"/>
      <c r="E6" s="802" t="str">
        <f>VLOOKUP(C6,U12組合せ!B$10:K$19,9,TRUE)</f>
        <v>FCみらいV</v>
      </c>
      <c r="F6" s="802"/>
      <c r="G6" s="802"/>
      <c r="H6" s="802"/>
      <c r="I6" s="802"/>
      <c r="J6" s="802"/>
      <c r="K6" s="802"/>
      <c r="L6" s="802"/>
      <c r="M6" s="802"/>
      <c r="N6" s="802"/>
      <c r="O6" s="89"/>
      <c r="P6" s="89"/>
      <c r="Q6" s="803">
        <v>5</v>
      </c>
      <c r="R6" s="803"/>
      <c r="S6" s="804" t="str">
        <f>VLOOKUP(Q6,U12組合せ!$B$10:K$19,9,TRUE)</f>
        <v>ウエストフットコムU11</v>
      </c>
      <c r="T6" s="804"/>
      <c r="U6" s="804"/>
      <c r="V6" s="804"/>
      <c r="W6" s="804"/>
      <c r="X6" s="804"/>
      <c r="Y6" s="804"/>
      <c r="Z6" s="804"/>
      <c r="AA6" s="804"/>
      <c r="AB6" s="804"/>
      <c r="AC6" s="91"/>
      <c r="AD6" s="90"/>
      <c r="AE6" s="803">
        <v>8</v>
      </c>
      <c r="AF6" s="803"/>
      <c r="AG6" s="804" t="str">
        <f>VLOOKUP(AE6,U12組合せ!$B$10:$K$19,9,TRUE)</f>
        <v>陽東SSS</v>
      </c>
      <c r="AH6" s="804"/>
      <c r="AI6" s="804"/>
      <c r="AJ6" s="804"/>
      <c r="AK6" s="804"/>
      <c r="AL6" s="804"/>
      <c r="AM6" s="804"/>
      <c r="AN6" s="804"/>
      <c r="AO6" s="804"/>
      <c r="AP6" s="804"/>
      <c r="AR6" s="1">
        <v>8</v>
      </c>
    </row>
    <row r="7" spans="1:45" ht="29.25" customHeight="1" x14ac:dyDescent="0.4">
      <c r="C7" s="807">
        <v>3</v>
      </c>
      <c r="D7" s="807"/>
      <c r="E7" s="802" t="str">
        <f>VLOOKUP(C7,U12組合せ!B$10:K$19,9,TRUE)</f>
        <v>宇大付属小SSS U11</v>
      </c>
      <c r="F7" s="802"/>
      <c r="G7" s="802"/>
      <c r="H7" s="802"/>
      <c r="I7" s="802"/>
      <c r="J7" s="802"/>
      <c r="K7" s="802"/>
      <c r="L7" s="802"/>
      <c r="M7" s="802"/>
      <c r="N7" s="802"/>
      <c r="O7" s="89"/>
      <c r="P7" s="89"/>
      <c r="Q7" s="803">
        <v>6</v>
      </c>
      <c r="R7" s="803"/>
      <c r="S7" s="804" t="str">
        <f>VLOOKUP(Q7,U12組合せ!$B$10:K$19,9,TRUE)</f>
        <v>SUGAOプロミネンス</v>
      </c>
      <c r="T7" s="804"/>
      <c r="U7" s="804"/>
      <c r="V7" s="804"/>
      <c r="W7" s="804"/>
      <c r="X7" s="804"/>
      <c r="Y7" s="804"/>
      <c r="Z7" s="804"/>
      <c r="AA7" s="804"/>
      <c r="AB7" s="804"/>
      <c r="AC7" s="91"/>
      <c r="AD7" s="90"/>
      <c r="AE7" s="803">
        <v>9</v>
      </c>
      <c r="AF7" s="803"/>
      <c r="AG7" s="804" t="str">
        <f>VLOOKUP(AE7,U12組合せ!$B$10:$K$19,9,TRUE)</f>
        <v>ジュベニール</v>
      </c>
      <c r="AH7" s="804"/>
      <c r="AI7" s="804"/>
      <c r="AJ7" s="804"/>
      <c r="AK7" s="804"/>
      <c r="AL7" s="804"/>
      <c r="AM7" s="804"/>
      <c r="AN7" s="804"/>
      <c r="AO7" s="804"/>
      <c r="AP7" s="804"/>
    </row>
    <row r="8" spans="1:45" ht="9" customHeight="1" x14ac:dyDescent="0.4">
      <c r="B8" s="2"/>
      <c r="O8" s="2"/>
      <c r="P8" s="2"/>
      <c r="AC8" s="7"/>
      <c r="AD8" s="2"/>
      <c r="AE8" s="2"/>
      <c r="AF8" s="2"/>
      <c r="AG8" s="2"/>
    </row>
    <row r="9" spans="1:45" ht="8.25" customHeight="1" x14ac:dyDescent="0.4">
      <c r="O9" s="2"/>
      <c r="P9" s="2"/>
      <c r="AC9" s="7"/>
    </row>
    <row r="10" spans="1:45" ht="8.25" customHeight="1" x14ac:dyDescent="0.4">
      <c r="C10" s="127"/>
      <c r="D10" s="128"/>
      <c r="E10" s="128"/>
      <c r="F10" s="128"/>
      <c r="G10" s="128"/>
      <c r="H10" s="12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28"/>
      <c r="U10" s="2"/>
      <c r="V10" s="128"/>
      <c r="W10" s="2"/>
      <c r="X10" s="128"/>
      <c r="Y10" s="2"/>
      <c r="Z10" s="128"/>
      <c r="AA10" s="2"/>
      <c r="AB10" s="128"/>
      <c r="AC10" s="128"/>
    </row>
    <row r="11" spans="1:45" ht="21" customHeight="1" x14ac:dyDescent="0.4">
      <c r="B11" s="118" t="str">
        <f ca="1">IF(B13="①","【監督会議 8：20～】","【監督会議 12：50～】")</f>
        <v>【監督会議 8：20～】</v>
      </c>
      <c r="C11" s="96"/>
      <c r="D11" s="96"/>
      <c r="E11" s="96"/>
      <c r="F11" s="96"/>
      <c r="G11" s="96"/>
      <c r="H11" s="96"/>
      <c r="I11" s="96" t="s">
        <v>330</v>
      </c>
      <c r="J11" s="96"/>
      <c r="K11" s="96"/>
      <c r="L11" s="96"/>
      <c r="M11" s="96"/>
      <c r="N11" s="96"/>
      <c r="O11" s="96"/>
      <c r="P11" s="96"/>
    </row>
    <row r="12" spans="1:45" ht="20.25" customHeight="1" x14ac:dyDescent="0.4">
      <c r="B12" s="10"/>
      <c r="C12" s="814" t="s">
        <v>3</v>
      </c>
      <c r="D12" s="814"/>
      <c r="E12" s="814"/>
      <c r="F12" s="816" t="s">
        <v>4</v>
      </c>
      <c r="G12" s="817"/>
      <c r="H12" s="817"/>
      <c r="I12" s="817"/>
      <c r="J12" s="814" t="s">
        <v>5</v>
      </c>
      <c r="K12" s="815"/>
      <c r="L12" s="815"/>
      <c r="M12" s="815"/>
      <c r="N12" s="815"/>
      <c r="O12" s="815"/>
      <c r="P12" s="815"/>
      <c r="Q12" s="814" t="s">
        <v>32</v>
      </c>
      <c r="R12" s="814"/>
      <c r="S12" s="814"/>
      <c r="T12" s="814"/>
      <c r="U12" s="814"/>
      <c r="V12" s="814"/>
      <c r="W12" s="814"/>
      <c r="X12" s="814" t="s">
        <v>5</v>
      </c>
      <c r="Y12" s="815"/>
      <c r="Z12" s="815"/>
      <c r="AA12" s="815"/>
      <c r="AB12" s="815"/>
      <c r="AC12" s="815"/>
      <c r="AD12" s="815"/>
      <c r="AE12" s="816" t="s">
        <v>4</v>
      </c>
      <c r="AF12" s="817"/>
      <c r="AG12" s="817"/>
      <c r="AH12" s="817"/>
      <c r="AI12" s="814" t="s">
        <v>6</v>
      </c>
      <c r="AJ12" s="814"/>
      <c r="AK12" s="815"/>
      <c r="AL12" s="815"/>
      <c r="AM12" s="815"/>
      <c r="AN12" s="815"/>
      <c r="AO12" s="815"/>
      <c r="AP12" s="815"/>
    </row>
    <row r="13" spans="1:45" ht="20.100000000000001" customHeight="1" x14ac:dyDescent="0.4">
      <c r="B13" s="818" t="str">
        <f ca="1">DBCS(INDIRECT("U12対戦スケジュール!ｓ"&amp;(ROW()-1)/2+2))</f>
        <v>①</v>
      </c>
      <c r="C13" s="819">
        <f ca="1">INDIRECT("U12対戦スケジュール!ｔ"&amp;(ROW()-1)/2+2)</f>
        <v>0.375</v>
      </c>
      <c r="D13" s="820"/>
      <c r="E13" s="821"/>
      <c r="F13" s="825"/>
      <c r="G13" s="826"/>
      <c r="H13" s="826"/>
      <c r="I13" s="826"/>
      <c r="J13" s="827" t="str">
        <f ca="1">VLOOKUP(AR13,U12組合せ!B$10:K$19,9,TRUE)</f>
        <v>FCブロケード</v>
      </c>
      <c r="K13" s="828"/>
      <c r="L13" s="828"/>
      <c r="M13" s="828"/>
      <c r="N13" s="828"/>
      <c r="O13" s="828"/>
      <c r="P13" s="828"/>
      <c r="Q13" s="829">
        <f>IF(OR(S13="",S14=""),"",S13+S14)</f>
        <v>0</v>
      </c>
      <c r="R13" s="829"/>
      <c r="S13" s="11">
        <v>0</v>
      </c>
      <c r="T13" s="12" t="s">
        <v>7</v>
      </c>
      <c r="U13" s="11">
        <v>4</v>
      </c>
      <c r="V13" s="829">
        <f>IF(OR(U13="",U14=""),"",U13+U14)</f>
        <v>6</v>
      </c>
      <c r="W13" s="829"/>
      <c r="X13" s="827" t="str">
        <f ca="1">VLOOKUP(AS13,U12組合せ!B$10:K$19,9,TRUE)</f>
        <v>FCみらいV</v>
      </c>
      <c r="Y13" s="828"/>
      <c r="Z13" s="828"/>
      <c r="AA13" s="828"/>
      <c r="AB13" s="828"/>
      <c r="AC13" s="828"/>
      <c r="AD13" s="828"/>
      <c r="AE13" s="825"/>
      <c r="AF13" s="826"/>
      <c r="AG13" s="826"/>
      <c r="AH13" s="826"/>
      <c r="AI13" s="829" t="str">
        <f ca="1">DBCS(INDIRECT("U12対戦スケジュール!ｘ"&amp;(ROW()-1)/2+2))</f>
        <v>３／１／２／３</v>
      </c>
      <c r="AJ13" s="826"/>
      <c r="AK13" s="826"/>
      <c r="AL13" s="826"/>
      <c r="AM13" s="826"/>
      <c r="AN13" s="826"/>
      <c r="AO13" s="826"/>
      <c r="AP13" s="826"/>
      <c r="AR13" s="119">
        <f ca="1">INDIRECT("U12対戦スケジュール!o"&amp;(ROW()-1)/2+2)</f>
        <v>1</v>
      </c>
      <c r="AS13" s="119">
        <f ca="1">INDIRECT("U12対戦スケジュール!q"&amp;(ROW()-1)/2+2)</f>
        <v>2</v>
      </c>
    </row>
    <row r="14" spans="1:45" ht="20.100000000000001" customHeight="1" x14ac:dyDescent="0.4">
      <c r="B14" s="818"/>
      <c r="C14" s="822"/>
      <c r="D14" s="823"/>
      <c r="E14" s="824"/>
      <c r="F14" s="826"/>
      <c r="G14" s="826"/>
      <c r="H14" s="826"/>
      <c r="I14" s="826"/>
      <c r="J14" s="828"/>
      <c r="K14" s="828"/>
      <c r="L14" s="828"/>
      <c r="M14" s="828"/>
      <c r="N14" s="828"/>
      <c r="O14" s="828"/>
      <c r="P14" s="828"/>
      <c r="Q14" s="829"/>
      <c r="R14" s="829"/>
      <c r="S14" s="11">
        <v>0</v>
      </c>
      <c r="T14" s="12" t="s">
        <v>7</v>
      </c>
      <c r="U14" s="11">
        <v>2</v>
      </c>
      <c r="V14" s="829"/>
      <c r="W14" s="829"/>
      <c r="X14" s="828"/>
      <c r="Y14" s="828"/>
      <c r="Z14" s="828"/>
      <c r="AA14" s="828"/>
      <c r="AB14" s="828"/>
      <c r="AC14" s="828"/>
      <c r="AD14" s="828"/>
      <c r="AE14" s="826"/>
      <c r="AF14" s="826"/>
      <c r="AG14" s="826"/>
      <c r="AH14" s="826"/>
      <c r="AI14" s="826"/>
      <c r="AJ14" s="826"/>
      <c r="AK14" s="826"/>
      <c r="AL14" s="826"/>
      <c r="AM14" s="826"/>
      <c r="AN14" s="826"/>
      <c r="AO14" s="826"/>
      <c r="AP14" s="826"/>
      <c r="AR14" s="129"/>
      <c r="AS14" s="129"/>
    </row>
    <row r="15" spans="1:45" ht="20.100000000000001" customHeight="1" x14ac:dyDescent="0.4">
      <c r="B15" s="818" t="str">
        <f ca="1">DBCS(INDIRECT("U12対戦スケジュール!ｓ"&amp;(ROW()-1)/2+2))</f>
        <v>②</v>
      </c>
      <c r="C15" s="819">
        <f ca="1">INDIRECT("U12対戦スケジュール!ｔ"&amp;(ROW()-1)/2+2)</f>
        <v>0.41699999999999998</v>
      </c>
      <c r="D15" s="820"/>
      <c r="E15" s="821"/>
      <c r="F15" s="825"/>
      <c r="G15" s="826"/>
      <c r="H15" s="826"/>
      <c r="I15" s="826"/>
      <c r="J15" s="827" t="str">
        <f ca="1">VLOOKUP(AR15,U12組合せ!B$10:K$19,9,TRUE)</f>
        <v>宇大付属小SSS U11</v>
      </c>
      <c r="K15" s="828"/>
      <c r="L15" s="828"/>
      <c r="M15" s="828"/>
      <c r="N15" s="828"/>
      <c r="O15" s="828"/>
      <c r="P15" s="828"/>
      <c r="Q15" s="829">
        <f>IF(OR(S15="",S16=""),"",S15+S16)</f>
        <v>1</v>
      </c>
      <c r="R15" s="829"/>
      <c r="S15" s="11">
        <v>1</v>
      </c>
      <c r="T15" s="12" t="s">
        <v>7</v>
      </c>
      <c r="U15" s="11">
        <v>1</v>
      </c>
      <c r="V15" s="829">
        <f>IF(OR(U15="",U16=""),"",U15+U16)</f>
        <v>3</v>
      </c>
      <c r="W15" s="829"/>
      <c r="X15" s="827" t="str">
        <f ca="1">VLOOKUP(AS15,U12組合せ!B$10:K$19,9,TRUE)</f>
        <v>FCみらいV</v>
      </c>
      <c r="Y15" s="828"/>
      <c r="Z15" s="828"/>
      <c r="AA15" s="828"/>
      <c r="AB15" s="828"/>
      <c r="AC15" s="828"/>
      <c r="AD15" s="828"/>
      <c r="AE15" s="825"/>
      <c r="AF15" s="826"/>
      <c r="AG15" s="826"/>
      <c r="AH15" s="826"/>
      <c r="AI15" s="829" t="str">
        <f ca="1">DBCS(INDIRECT("U12対戦スケジュール!ｘ"&amp;(ROW()-1)/2+2))</f>
        <v>１／２／３／１</v>
      </c>
      <c r="AJ15" s="826"/>
      <c r="AK15" s="826"/>
      <c r="AL15" s="826"/>
      <c r="AM15" s="826"/>
      <c r="AN15" s="826"/>
      <c r="AO15" s="826"/>
      <c r="AP15" s="826"/>
      <c r="AR15" s="119">
        <f ca="1">INDIRECT("U12対戦スケジュール!o"&amp;(ROW()-1)/2+2)</f>
        <v>3</v>
      </c>
      <c r="AS15" s="119">
        <f ca="1">INDIRECT("U12対戦スケジュール!q"&amp;(ROW()-1)/2+2)</f>
        <v>2</v>
      </c>
    </row>
    <row r="16" spans="1:45" ht="20.100000000000001" customHeight="1" x14ac:dyDescent="0.4">
      <c r="B16" s="818"/>
      <c r="C16" s="822"/>
      <c r="D16" s="823"/>
      <c r="E16" s="824"/>
      <c r="F16" s="826"/>
      <c r="G16" s="826"/>
      <c r="H16" s="826"/>
      <c r="I16" s="826"/>
      <c r="J16" s="828"/>
      <c r="K16" s="828"/>
      <c r="L16" s="828"/>
      <c r="M16" s="828"/>
      <c r="N16" s="828"/>
      <c r="O16" s="828"/>
      <c r="P16" s="828"/>
      <c r="Q16" s="829"/>
      <c r="R16" s="829"/>
      <c r="S16" s="11">
        <v>0</v>
      </c>
      <c r="T16" s="12" t="s">
        <v>7</v>
      </c>
      <c r="U16" s="11">
        <v>2</v>
      </c>
      <c r="V16" s="829"/>
      <c r="W16" s="829"/>
      <c r="X16" s="828"/>
      <c r="Y16" s="828"/>
      <c r="Z16" s="828"/>
      <c r="AA16" s="828"/>
      <c r="AB16" s="828"/>
      <c r="AC16" s="828"/>
      <c r="AD16" s="828"/>
      <c r="AE16" s="826"/>
      <c r="AF16" s="826"/>
      <c r="AG16" s="826"/>
      <c r="AH16" s="826"/>
      <c r="AI16" s="826"/>
      <c r="AJ16" s="826"/>
      <c r="AK16" s="826"/>
      <c r="AL16" s="826"/>
      <c r="AM16" s="826"/>
      <c r="AN16" s="826"/>
      <c r="AO16" s="826"/>
      <c r="AP16" s="826"/>
      <c r="AR16" s="129"/>
      <c r="AS16" s="129"/>
    </row>
    <row r="17" spans="1:45" ht="20.100000000000001" customHeight="1" x14ac:dyDescent="0.4">
      <c r="B17" s="818" t="str">
        <f ca="1">DBCS(INDIRECT("U12対戦スケジュール!ｓ"&amp;(ROW()-1)/2+2))</f>
        <v>③</v>
      </c>
      <c r="C17" s="819">
        <f ca="1">INDIRECT("U12対戦スケジュール!ｔ"&amp;(ROW()-1)/2+2)</f>
        <v>0.45899999999999996</v>
      </c>
      <c r="D17" s="820"/>
      <c r="E17" s="821"/>
      <c r="F17" s="825"/>
      <c r="G17" s="826"/>
      <c r="H17" s="826"/>
      <c r="I17" s="826"/>
      <c r="J17" s="827" t="str">
        <f ca="1">VLOOKUP(AR17,U12組合せ!B$10:K$19,9,TRUE)</f>
        <v>宇大付属小SSS U11</v>
      </c>
      <c r="K17" s="828"/>
      <c r="L17" s="828"/>
      <c r="M17" s="828"/>
      <c r="N17" s="828"/>
      <c r="O17" s="828"/>
      <c r="P17" s="828"/>
      <c r="Q17" s="829">
        <f>IF(OR(S17="",S18=""),"",S17+S18)</f>
        <v>2</v>
      </c>
      <c r="R17" s="829"/>
      <c r="S17" s="11">
        <v>1</v>
      </c>
      <c r="T17" s="12" t="s">
        <v>7</v>
      </c>
      <c r="U17" s="11">
        <v>0</v>
      </c>
      <c r="V17" s="829">
        <f>IF(OR(U17="",U18=""),"",U17+U18)</f>
        <v>0</v>
      </c>
      <c r="W17" s="829"/>
      <c r="X17" s="827" t="str">
        <f ca="1">VLOOKUP(AS17,U12組合せ!B$10:K$19,9,TRUE)</f>
        <v>FCブロケード</v>
      </c>
      <c r="Y17" s="828"/>
      <c r="Z17" s="828"/>
      <c r="AA17" s="828"/>
      <c r="AB17" s="828"/>
      <c r="AC17" s="828"/>
      <c r="AD17" s="828"/>
      <c r="AE17" s="825"/>
      <c r="AF17" s="826"/>
      <c r="AG17" s="826"/>
      <c r="AH17" s="826"/>
      <c r="AI17" s="829" t="str">
        <f ca="1">DBCS(INDIRECT("U12対戦スケジュール!ｘ"&amp;(ROW()-1)/2+2))</f>
        <v>２／３／１／２</v>
      </c>
      <c r="AJ17" s="826"/>
      <c r="AK17" s="826"/>
      <c r="AL17" s="826"/>
      <c r="AM17" s="826"/>
      <c r="AN17" s="826"/>
      <c r="AO17" s="826"/>
      <c r="AP17" s="826"/>
      <c r="AR17" s="119">
        <f ca="1">INDIRECT("U12対戦スケジュール!o"&amp;(ROW()-1)/2+2)</f>
        <v>3</v>
      </c>
      <c r="AS17" s="119">
        <f ca="1">INDIRECT("U12対戦スケジュール!q"&amp;(ROW()-1)/2+2)</f>
        <v>1</v>
      </c>
    </row>
    <row r="18" spans="1:45" ht="20.100000000000001" customHeight="1" x14ac:dyDescent="0.4">
      <c r="B18" s="818"/>
      <c r="C18" s="822"/>
      <c r="D18" s="823"/>
      <c r="E18" s="824"/>
      <c r="F18" s="826"/>
      <c r="G18" s="826"/>
      <c r="H18" s="826"/>
      <c r="I18" s="826"/>
      <c r="J18" s="828"/>
      <c r="K18" s="828"/>
      <c r="L18" s="828"/>
      <c r="M18" s="828"/>
      <c r="N18" s="828"/>
      <c r="O18" s="828"/>
      <c r="P18" s="828"/>
      <c r="Q18" s="829"/>
      <c r="R18" s="829"/>
      <c r="S18" s="11">
        <v>1</v>
      </c>
      <c r="T18" s="12" t="s">
        <v>7</v>
      </c>
      <c r="U18" s="11">
        <v>0</v>
      </c>
      <c r="V18" s="829"/>
      <c r="W18" s="829"/>
      <c r="X18" s="828"/>
      <c r="Y18" s="828"/>
      <c r="Z18" s="828"/>
      <c r="AA18" s="828"/>
      <c r="AB18" s="828"/>
      <c r="AC18" s="828"/>
      <c r="AD18" s="828"/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R18" s="129"/>
      <c r="AS18" s="129"/>
    </row>
    <row r="19" spans="1:45" ht="20.100000000000001" customHeight="1" x14ac:dyDescent="0.4">
      <c r="B19" s="818"/>
      <c r="C19" s="819"/>
      <c r="D19" s="820"/>
      <c r="E19" s="821"/>
      <c r="F19" s="825"/>
      <c r="G19" s="826"/>
      <c r="H19" s="826"/>
      <c r="I19" s="826"/>
      <c r="J19" s="830"/>
      <c r="K19" s="831"/>
      <c r="L19" s="831"/>
      <c r="M19" s="831"/>
      <c r="N19" s="831"/>
      <c r="O19" s="831"/>
      <c r="P19" s="831"/>
      <c r="Q19" s="829"/>
      <c r="R19" s="829"/>
      <c r="S19" s="11"/>
      <c r="T19" s="12"/>
      <c r="U19" s="11"/>
      <c r="V19" s="829"/>
      <c r="W19" s="829"/>
      <c r="X19" s="830"/>
      <c r="Y19" s="831"/>
      <c r="Z19" s="831"/>
      <c r="AA19" s="831"/>
      <c r="AB19" s="831"/>
      <c r="AC19" s="831"/>
      <c r="AD19" s="831"/>
      <c r="AE19" s="825"/>
      <c r="AF19" s="826"/>
      <c r="AG19" s="826"/>
      <c r="AH19" s="826"/>
      <c r="AI19" s="829"/>
      <c r="AJ19" s="826"/>
      <c r="AK19" s="826"/>
      <c r="AL19" s="826"/>
      <c r="AM19" s="826"/>
      <c r="AN19" s="826"/>
      <c r="AO19" s="826"/>
      <c r="AP19" s="826"/>
      <c r="AR19" s="129"/>
      <c r="AS19" s="129"/>
    </row>
    <row r="20" spans="1:45" ht="20.100000000000001" customHeight="1" x14ac:dyDescent="0.4">
      <c r="B20" s="818"/>
      <c r="C20" s="822"/>
      <c r="D20" s="823"/>
      <c r="E20" s="824"/>
      <c r="F20" s="826"/>
      <c r="G20" s="826"/>
      <c r="H20" s="826"/>
      <c r="I20" s="826"/>
      <c r="J20" s="831"/>
      <c r="K20" s="831"/>
      <c r="L20" s="831"/>
      <c r="M20" s="831"/>
      <c r="N20" s="831"/>
      <c r="O20" s="831"/>
      <c r="P20" s="831"/>
      <c r="Q20" s="829"/>
      <c r="R20" s="829"/>
      <c r="S20" s="11"/>
      <c r="T20" s="12"/>
      <c r="U20" s="11"/>
      <c r="V20" s="829"/>
      <c r="W20" s="829"/>
      <c r="X20" s="831"/>
      <c r="Y20" s="831"/>
      <c r="Z20" s="831"/>
      <c r="AA20" s="831"/>
      <c r="AB20" s="831"/>
      <c r="AC20" s="831"/>
      <c r="AD20" s="831"/>
      <c r="AE20" s="826"/>
      <c r="AF20" s="826"/>
      <c r="AG20" s="826"/>
      <c r="AH20" s="826"/>
      <c r="AI20" s="826"/>
      <c r="AJ20" s="826"/>
      <c r="AK20" s="826"/>
      <c r="AL20" s="826"/>
      <c r="AM20" s="826"/>
      <c r="AN20" s="826"/>
      <c r="AO20" s="826"/>
      <c r="AP20" s="826"/>
      <c r="AR20" s="129"/>
      <c r="AS20" s="129"/>
    </row>
    <row r="21" spans="1:45" ht="20.100000000000001" customHeight="1" x14ac:dyDescent="0.4">
      <c r="B21" s="818" t="str">
        <f ca="1">DBCS(INDIRECT("U12対戦スケジュール!A"&amp;(ROW()-1)/2+2))</f>
        <v/>
      </c>
      <c r="C21" s="832"/>
      <c r="D21" s="832"/>
      <c r="E21" s="832"/>
      <c r="F21" s="825"/>
      <c r="G21" s="826"/>
      <c r="H21" s="826"/>
      <c r="I21" s="826"/>
      <c r="J21" s="833"/>
      <c r="K21" s="834"/>
      <c r="L21" s="834"/>
      <c r="M21" s="834"/>
      <c r="N21" s="834"/>
      <c r="O21" s="834"/>
      <c r="P21" s="834"/>
      <c r="Q21" s="829"/>
      <c r="R21" s="829"/>
      <c r="S21" s="11"/>
      <c r="T21" s="12"/>
      <c r="U21" s="11"/>
      <c r="V21" s="829"/>
      <c r="W21" s="829"/>
      <c r="X21" s="833"/>
      <c r="Y21" s="834"/>
      <c r="Z21" s="834"/>
      <c r="AA21" s="834"/>
      <c r="AB21" s="834"/>
      <c r="AC21" s="834"/>
      <c r="AD21" s="834"/>
      <c r="AE21" s="825"/>
      <c r="AF21" s="826"/>
      <c r="AG21" s="826"/>
      <c r="AH21" s="826"/>
      <c r="AI21" s="829"/>
      <c r="AJ21" s="826"/>
      <c r="AK21" s="826"/>
      <c r="AL21" s="826"/>
      <c r="AM21" s="826"/>
      <c r="AN21" s="826"/>
      <c r="AO21" s="826"/>
      <c r="AP21" s="826"/>
      <c r="AR21" s="129"/>
      <c r="AS21" s="129"/>
    </row>
    <row r="22" spans="1:45" ht="20.100000000000001" customHeight="1" x14ac:dyDescent="0.4">
      <c r="B22" s="818"/>
      <c r="C22" s="832"/>
      <c r="D22" s="832"/>
      <c r="E22" s="832"/>
      <c r="F22" s="826"/>
      <c r="G22" s="826"/>
      <c r="H22" s="826"/>
      <c r="I22" s="826"/>
      <c r="J22" s="834"/>
      <c r="K22" s="834"/>
      <c r="L22" s="834"/>
      <c r="M22" s="834"/>
      <c r="N22" s="834"/>
      <c r="O22" s="834"/>
      <c r="P22" s="834"/>
      <c r="Q22" s="829"/>
      <c r="R22" s="829"/>
      <c r="S22" s="11"/>
      <c r="T22" s="12"/>
      <c r="U22" s="11"/>
      <c r="V22" s="829"/>
      <c r="W22" s="829"/>
      <c r="X22" s="834"/>
      <c r="Y22" s="834"/>
      <c r="Z22" s="834"/>
      <c r="AA22" s="834"/>
      <c r="AB22" s="834"/>
      <c r="AC22" s="834"/>
      <c r="AD22" s="834"/>
      <c r="AE22" s="826"/>
      <c r="AF22" s="826"/>
      <c r="AG22" s="826"/>
      <c r="AH22" s="826"/>
      <c r="AI22" s="826"/>
      <c r="AJ22" s="826"/>
      <c r="AK22" s="826"/>
      <c r="AL22" s="826"/>
      <c r="AM22" s="826"/>
      <c r="AN22" s="826"/>
      <c r="AO22" s="826"/>
      <c r="AP22" s="826"/>
      <c r="AR22" s="129"/>
      <c r="AS22" s="129"/>
    </row>
    <row r="23" spans="1:45" ht="20.100000000000001" customHeight="1" x14ac:dyDescent="0.4">
      <c r="B23" s="818"/>
      <c r="C23" s="832"/>
      <c r="D23" s="832"/>
      <c r="E23" s="832"/>
      <c r="F23" s="825"/>
      <c r="G23" s="826"/>
      <c r="H23" s="826"/>
      <c r="I23" s="826"/>
      <c r="J23" s="833"/>
      <c r="K23" s="834"/>
      <c r="L23" s="834"/>
      <c r="M23" s="834"/>
      <c r="N23" s="834"/>
      <c r="O23" s="834"/>
      <c r="P23" s="834"/>
      <c r="Q23" s="829"/>
      <c r="R23" s="829"/>
      <c r="S23" s="11"/>
      <c r="T23" s="12"/>
      <c r="U23" s="11"/>
      <c r="V23" s="829"/>
      <c r="W23" s="829"/>
      <c r="X23" s="833"/>
      <c r="Y23" s="834"/>
      <c r="Z23" s="834"/>
      <c r="AA23" s="834"/>
      <c r="AB23" s="834"/>
      <c r="AC23" s="834"/>
      <c r="AD23" s="834"/>
      <c r="AE23" s="825"/>
      <c r="AF23" s="826"/>
      <c r="AG23" s="826"/>
      <c r="AH23" s="826"/>
      <c r="AI23" s="829"/>
      <c r="AJ23" s="826"/>
      <c r="AK23" s="826"/>
      <c r="AL23" s="826"/>
      <c r="AM23" s="826"/>
      <c r="AN23" s="826"/>
      <c r="AO23" s="826"/>
      <c r="AP23" s="826"/>
      <c r="AR23" s="129"/>
      <c r="AS23" s="129"/>
    </row>
    <row r="24" spans="1:45" ht="20.100000000000001" customHeight="1" x14ac:dyDescent="0.4">
      <c r="B24" s="818"/>
      <c r="C24" s="832"/>
      <c r="D24" s="832"/>
      <c r="E24" s="832"/>
      <c r="F24" s="826"/>
      <c r="G24" s="826"/>
      <c r="H24" s="826"/>
      <c r="I24" s="826"/>
      <c r="J24" s="834"/>
      <c r="K24" s="834"/>
      <c r="L24" s="834"/>
      <c r="M24" s="834"/>
      <c r="N24" s="834"/>
      <c r="O24" s="834"/>
      <c r="P24" s="834"/>
      <c r="Q24" s="829"/>
      <c r="R24" s="829"/>
      <c r="S24" s="11"/>
      <c r="T24" s="12"/>
      <c r="U24" s="11"/>
      <c r="V24" s="829"/>
      <c r="W24" s="829"/>
      <c r="X24" s="834"/>
      <c r="Y24" s="834"/>
      <c r="Z24" s="834"/>
      <c r="AA24" s="834"/>
      <c r="AB24" s="834"/>
      <c r="AC24" s="834"/>
      <c r="AD24" s="834"/>
      <c r="AE24" s="826"/>
      <c r="AF24" s="826"/>
      <c r="AG24" s="826"/>
      <c r="AH24" s="826"/>
      <c r="AI24" s="826"/>
      <c r="AJ24" s="826"/>
      <c r="AK24" s="826"/>
      <c r="AL24" s="826"/>
      <c r="AM24" s="826"/>
      <c r="AN24" s="826"/>
      <c r="AO24" s="826"/>
      <c r="AP24" s="826"/>
      <c r="AR24" s="129"/>
      <c r="AS24" s="129"/>
    </row>
    <row r="25" spans="1:45" ht="20.100000000000001" customHeight="1" x14ac:dyDescent="0.4">
      <c r="B25" s="818"/>
      <c r="C25" s="832"/>
      <c r="D25" s="832"/>
      <c r="E25" s="832"/>
      <c r="F25" s="825"/>
      <c r="G25" s="826"/>
      <c r="H25" s="826"/>
      <c r="I25" s="826"/>
      <c r="J25" s="833"/>
      <c r="K25" s="834"/>
      <c r="L25" s="834"/>
      <c r="M25" s="834"/>
      <c r="N25" s="834"/>
      <c r="O25" s="834"/>
      <c r="P25" s="834"/>
      <c r="Q25" s="829"/>
      <c r="R25" s="829"/>
      <c r="S25" s="11"/>
      <c r="T25" s="12"/>
      <c r="U25" s="11"/>
      <c r="V25" s="829"/>
      <c r="W25" s="829"/>
      <c r="X25" s="833"/>
      <c r="Y25" s="834"/>
      <c r="Z25" s="834"/>
      <c r="AA25" s="834"/>
      <c r="AB25" s="834"/>
      <c r="AC25" s="834"/>
      <c r="AD25" s="834"/>
      <c r="AE25" s="825"/>
      <c r="AF25" s="826"/>
      <c r="AG25" s="826"/>
      <c r="AH25" s="826"/>
      <c r="AI25" s="829"/>
      <c r="AJ25" s="826"/>
      <c r="AK25" s="826"/>
      <c r="AL25" s="826"/>
      <c r="AM25" s="826"/>
      <c r="AN25" s="826"/>
      <c r="AO25" s="826"/>
      <c r="AP25" s="826"/>
      <c r="AR25" s="129"/>
      <c r="AS25" s="129"/>
    </row>
    <row r="26" spans="1:45" ht="20.100000000000001" customHeight="1" x14ac:dyDescent="0.4">
      <c r="B26" s="818"/>
      <c r="C26" s="832"/>
      <c r="D26" s="832"/>
      <c r="E26" s="832"/>
      <c r="F26" s="826"/>
      <c r="G26" s="826"/>
      <c r="H26" s="826"/>
      <c r="I26" s="826"/>
      <c r="J26" s="834"/>
      <c r="K26" s="834"/>
      <c r="L26" s="834"/>
      <c r="M26" s="834"/>
      <c r="N26" s="834"/>
      <c r="O26" s="834"/>
      <c r="P26" s="834"/>
      <c r="Q26" s="829"/>
      <c r="R26" s="829"/>
      <c r="S26" s="11"/>
      <c r="T26" s="12"/>
      <c r="U26" s="11"/>
      <c r="V26" s="829"/>
      <c r="W26" s="829"/>
      <c r="X26" s="834"/>
      <c r="Y26" s="834"/>
      <c r="Z26" s="834"/>
      <c r="AA26" s="834"/>
      <c r="AB26" s="834"/>
      <c r="AC26" s="834"/>
      <c r="AD26" s="834"/>
      <c r="AE26" s="826"/>
      <c r="AF26" s="826"/>
      <c r="AG26" s="826"/>
      <c r="AH26" s="826"/>
      <c r="AI26" s="826"/>
      <c r="AJ26" s="826"/>
      <c r="AK26" s="826"/>
      <c r="AL26" s="826"/>
      <c r="AM26" s="826"/>
      <c r="AN26" s="826"/>
      <c r="AO26" s="826"/>
      <c r="AP26" s="826"/>
    </row>
    <row r="27" spans="1:45" ht="15.75" customHeight="1" x14ac:dyDescent="0.4">
      <c r="A27" s="2"/>
      <c r="B27" s="3"/>
      <c r="C27" s="84"/>
      <c r="D27" s="84"/>
      <c r="E27" s="84"/>
      <c r="F27" s="3"/>
      <c r="G27" s="3"/>
      <c r="H27" s="3"/>
      <c r="I27" s="3"/>
      <c r="J27" s="3"/>
      <c r="K27" s="83"/>
      <c r="L27" s="83"/>
      <c r="M27" s="4"/>
      <c r="N27" s="5"/>
      <c r="O27" s="4"/>
      <c r="P27" s="83"/>
      <c r="Q27" s="83"/>
      <c r="R27" s="3"/>
      <c r="S27" s="3"/>
      <c r="T27" s="3"/>
      <c r="U27" s="3"/>
      <c r="V27" s="3"/>
      <c r="W27" s="6"/>
      <c r="X27" s="6"/>
      <c r="Y27" s="6"/>
      <c r="Z27" s="6"/>
      <c r="AA27" s="6"/>
      <c r="AB27" s="6"/>
      <c r="AC27" s="2"/>
    </row>
    <row r="28" spans="1:45" ht="20.25" customHeight="1" x14ac:dyDescent="0.4">
      <c r="D28" s="818" t="s">
        <v>8</v>
      </c>
      <c r="E28" s="818"/>
      <c r="F28" s="818"/>
      <c r="G28" s="818"/>
      <c r="H28" s="818"/>
      <c r="I28" s="818"/>
      <c r="J28" s="818" t="s">
        <v>5</v>
      </c>
      <c r="K28" s="818"/>
      <c r="L28" s="818"/>
      <c r="M28" s="818"/>
      <c r="N28" s="818"/>
      <c r="O28" s="818"/>
      <c r="P28" s="818"/>
      <c r="Q28" s="818"/>
      <c r="R28" s="838" t="s">
        <v>9</v>
      </c>
      <c r="S28" s="838"/>
      <c r="T28" s="838"/>
      <c r="U28" s="838"/>
      <c r="V28" s="838"/>
      <c r="W28" s="838"/>
      <c r="X28" s="838"/>
      <c r="Y28" s="838"/>
      <c r="Z28" s="838"/>
      <c r="AA28" s="839" t="s">
        <v>10</v>
      </c>
      <c r="AB28" s="839"/>
      <c r="AC28" s="839"/>
      <c r="AD28" s="839" t="s">
        <v>11</v>
      </c>
      <c r="AE28" s="839"/>
      <c r="AF28" s="839"/>
      <c r="AG28" s="839"/>
      <c r="AH28" s="839"/>
      <c r="AI28" s="839"/>
      <c r="AJ28" s="839"/>
      <c r="AK28" s="839"/>
      <c r="AL28" s="839"/>
      <c r="AM28" s="839"/>
    </row>
    <row r="29" spans="1:45" ht="30" customHeight="1" x14ac:dyDescent="0.4">
      <c r="D29" s="818" t="s">
        <v>12</v>
      </c>
      <c r="E29" s="818"/>
      <c r="F29" s="818"/>
      <c r="G29" s="818"/>
      <c r="H29" s="818"/>
      <c r="I29" s="818"/>
      <c r="J29" s="818"/>
      <c r="K29" s="818"/>
      <c r="L29" s="818"/>
      <c r="M29" s="818"/>
      <c r="N29" s="818"/>
      <c r="O29" s="818"/>
      <c r="P29" s="818"/>
      <c r="Q29" s="818"/>
      <c r="R29" s="838"/>
      <c r="S29" s="838"/>
      <c r="T29" s="838"/>
      <c r="U29" s="838"/>
      <c r="V29" s="838"/>
      <c r="W29" s="838"/>
      <c r="X29" s="838"/>
      <c r="Y29" s="838"/>
      <c r="Z29" s="838"/>
      <c r="AA29" s="837"/>
      <c r="AB29" s="837"/>
      <c r="AC29" s="837"/>
      <c r="AD29" s="840"/>
      <c r="AE29" s="840"/>
      <c r="AF29" s="840"/>
      <c r="AG29" s="840"/>
      <c r="AH29" s="840"/>
      <c r="AI29" s="840"/>
      <c r="AJ29" s="840"/>
      <c r="AK29" s="840"/>
      <c r="AL29" s="840"/>
      <c r="AM29" s="840"/>
    </row>
    <row r="30" spans="1:45" ht="30" customHeight="1" x14ac:dyDescent="0.4">
      <c r="D30" s="818" t="s">
        <v>12</v>
      </c>
      <c r="E30" s="818"/>
      <c r="F30" s="818"/>
      <c r="G30" s="818"/>
      <c r="H30" s="818"/>
      <c r="I30" s="818"/>
      <c r="J30" s="818"/>
      <c r="K30" s="818"/>
      <c r="L30" s="818"/>
      <c r="M30" s="818"/>
      <c r="N30" s="818"/>
      <c r="O30" s="818"/>
      <c r="P30" s="818"/>
      <c r="Q30" s="818"/>
      <c r="R30" s="838"/>
      <c r="S30" s="838"/>
      <c r="T30" s="838"/>
      <c r="U30" s="838"/>
      <c r="V30" s="838"/>
      <c r="W30" s="838"/>
      <c r="X30" s="838"/>
      <c r="Y30" s="838"/>
      <c r="Z30" s="838"/>
      <c r="AA30" s="839"/>
      <c r="AB30" s="839"/>
      <c r="AC30" s="839"/>
      <c r="AD30" s="840"/>
      <c r="AE30" s="840"/>
      <c r="AF30" s="840"/>
      <c r="AG30" s="840"/>
      <c r="AH30" s="840"/>
      <c r="AI30" s="840"/>
      <c r="AJ30" s="840"/>
      <c r="AK30" s="840"/>
      <c r="AL30" s="840"/>
      <c r="AM30" s="840"/>
    </row>
    <row r="31" spans="1:45" ht="30" customHeight="1" x14ac:dyDescent="0.4">
      <c r="D31" s="818" t="s">
        <v>12</v>
      </c>
      <c r="E31" s="818"/>
      <c r="F31" s="818"/>
      <c r="G31" s="818"/>
      <c r="H31" s="818"/>
      <c r="I31" s="818"/>
      <c r="J31" s="818"/>
      <c r="K31" s="818"/>
      <c r="L31" s="818"/>
      <c r="M31" s="818"/>
      <c r="N31" s="818"/>
      <c r="O31" s="818"/>
      <c r="P31" s="818"/>
      <c r="Q31" s="818"/>
      <c r="R31" s="838"/>
      <c r="S31" s="838"/>
      <c r="T31" s="838"/>
      <c r="U31" s="838"/>
      <c r="V31" s="838"/>
      <c r="W31" s="838"/>
      <c r="X31" s="838"/>
      <c r="Y31" s="838"/>
      <c r="Z31" s="838"/>
      <c r="AA31" s="839"/>
      <c r="AB31" s="839"/>
      <c r="AC31" s="839"/>
      <c r="AD31" s="840"/>
      <c r="AE31" s="840"/>
      <c r="AF31" s="840"/>
      <c r="AG31" s="840"/>
      <c r="AH31" s="840"/>
      <c r="AI31" s="840"/>
      <c r="AJ31" s="840"/>
      <c r="AK31" s="840"/>
      <c r="AL31" s="840"/>
      <c r="AM31" s="840"/>
    </row>
    <row r="32" spans="1:45" ht="9.75" customHeight="1" x14ac:dyDescent="0.4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83"/>
      <c r="S32" s="83"/>
      <c r="T32" s="83"/>
      <c r="U32" s="83"/>
      <c r="V32" s="83"/>
      <c r="W32" s="83"/>
      <c r="X32" s="83"/>
      <c r="Y32" s="83"/>
      <c r="Z32" s="83"/>
      <c r="AA32" s="5"/>
      <c r="AB32" s="5"/>
      <c r="AC32" s="5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</row>
    <row r="33" spans="1:52" ht="29.25" customHeight="1" x14ac:dyDescent="0.4">
      <c r="A33" s="115"/>
      <c r="B33" s="599" t="str">
        <f>U12組合せ!$B$1</f>
        <v>ＪＦＡ　Ｕ-１２サッカーリーグ2021（in栃木） 宇都宮地区リーグ戦（前期）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612" t="str">
        <f>"【"&amp;(U12組合せ!$J$3)&amp;"】"</f>
        <v>【Ｄ ブロック】</v>
      </c>
      <c r="AD33" s="612"/>
      <c r="AE33" s="612"/>
      <c r="AF33" s="612"/>
      <c r="AG33" s="612"/>
      <c r="AH33" s="612"/>
      <c r="AI33" s="612"/>
      <c r="AJ33" s="612"/>
      <c r="AK33" s="602" t="str">
        <f>"第"&amp;(U12組合せ!$D$21)</f>
        <v>第１節</v>
      </c>
      <c r="AL33" s="602"/>
      <c r="AM33" s="602"/>
      <c r="AN33" s="602"/>
      <c r="AO33" s="602"/>
      <c r="AP33" s="597" t="s">
        <v>332</v>
      </c>
      <c r="AQ33" s="598"/>
    </row>
    <row r="34" spans="1:52" ht="29.25" customHeight="1" x14ac:dyDescent="0.4">
      <c r="A34" s="115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601"/>
      <c r="AD34" s="601"/>
      <c r="AE34" s="601"/>
      <c r="AF34" s="601"/>
      <c r="AG34" s="601"/>
      <c r="AH34" s="601"/>
      <c r="AI34" s="601"/>
      <c r="AJ34" s="601"/>
      <c r="AK34" s="601"/>
      <c r="AL34" s="601"/>
      <c r="AM34" s="601"/>
      <c r="AN34" s="601"/>
      <c r="AO34" s="601"/>
      <c r="AP34" s="598"/>
      <c r="AQ34" s="598"/>
    </row>
    <row r="35" spans="1:52" ht="31.5" customHeight="1" x14ac:dyDescent="0.4">
      <c r="C35" s="844" t="s">
        <v>1</v>
      </c>
      <c r="D35" s="845"/>
      <c r="E35" s="845"/>
      <c r="F35" s="846"/>
      <c r="G35" s="809" t="str">
        <f>U12対戦スケジュール!U14</f>
        <v>石井 4 AM</v>
      </c>
      <c r="H35" s="810"/>
      <c r="I35" s="810"/>
      <c r="J35" s="810"/>
      <c r="K35" s="810"/>
      <c r="L35" s="810"/>
      <c r="M35" s="810"/>
      <c r="N35" s="810"/>
      <c r="O35" s="811"/>
      <c r="P35" s="844" t="s">
        <v>0</v>
      </c>
      <c r="Q35" s="845"/>
      <c r="R35" s="845"/>
      <c r="S35" s="846"/>
      <c r="T35" s="860" t="str">
        <f>S38</f>
        <v>ウエストフットコムU11</v>
      </c>
      <c r="U35" s="861"/>
      <c r="V35" s="861"/>
      <c r="W35" s="861"/>
      <c r="X35" s="861"/>
      <c r="Y35" s="861"/>
      <c r="Z35" s="861"/>
      <c r="AA35" s="861"/>
      <c r="AB35" s="862"/>
      <c r="AC35" s="844" t="s">
        <v>2</v>
      </c>
      <c r="AD35" s="845"/>
      <c r="AE35" s="845"/>
      <c r="AF35" s="846"/>
      <c r="AG35" s="812">
        <f>U12対戦スケジュール!F3</f>
        <v>44296</v>
      </c>
      <c r="AH35" s="813"/>
      <c r="AI35" s="813"/>
      <c r="AJ35" s="813"/>
      <c r="AK35" s="813"/>
      <c r="AL35" s="813"/>
      <c r="AM35" s="805" t="str">
        <f>"（"&amp;TEXT(AG35,"aaa")&amp;"）"</f>
        <v>（土）</v>
      </c>
      <c r="AN35" s="805"/>
      <c r="AO35" s="806"/>
    </row>
    <row r="36" spans="1:52" ht="15" customHeight="1" x14ac:dyDescent="0.4">
      <c r="C36" s="1" t="str">
        <f>U12組合せ!K24</f>
        <v>D456</v>
      </c>
      <c r="D36" s="2"/>
      <c r="E36" s="2"/>
      <c r="F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7"/>
      <c r="X36" s="7"/>
      <c r="Y36" s="7"/>
      <c r="Z36" s="7"/>
      <c r="AA36" s="7"/>
      <c r="AB36" s="7"/>
      <c r="AC36" s="7"/>
    </row>
    <row r="37" spans="1:52" ht="29.25" customHeight="1" x14ac:dyDescent="0.4">
      <c r="C37" s="835">
        <v>1</v>
      </c>
      <c r="D37" s="836"/>
      <c r="E37" s="804" t="str">
        <f>VLOOKUP(C37,U12組合せ!B$10:$K$19,9,TRUE)</f>
        <v>FCブロケード</v>
      </c>
      <c r="F37" s="804"/>
      <c r="G37" s="804"/>
      <c r="H37" s="804"/>
      <c r="I37" s="804"/>
      <c r="J37" s="804"/>
      <c r="K37" s="804"/>
      <c r="L37" s="804"/>
      <c r="M37" s="804"/>
      <c r="N37" s="804"/>
      <c r="O37" s="89"/>
      <c r="P37" s="89"/>
      <c r="Q37" s="809">
        <v>4</v>
      </c>
      <c r="R37" s="811"/>
      <c r="S37" s="802" t="str">
        <f>VLOOKUP(Q37,U12組合せ!$B$10:$K$19,9,TRUE)</f>
        <v>清原フューチャーズ</v>
      </c>
      <c r="T37" s="802"/>
      <c r="U37" s="802"/>
      <c r="V37" s="802"/>
      <c r="W37" s="802"/>
      <c r="X37" s="802"/>
      <c r="Y37" s="802"/>
      <c r="Z37" s="802"/>
      <c r="AA37" s="802"/>
      <c r="AB37" s="802"/>
      <c r="AC37" s="91"/>
      <c r="AD37" s="90"/>
      <c r="AE37" s="835">
        <v>7</v>
      </c>
      <c r="AF37" s="836"/>
      <c r="AG37" s="804" t="str">
        <f>VLOOKUP(AE37,U12組合せ!$B$10:$K$19,9,TRUE)</f>
        <v>宝木キッカーズ</v>
      </c>
      <c r="AH37" s="804"/>
      <c r="AI37" s="804"/>
      <c r="AJ37" s="804"/>
      <c r="AK37" s="804"/>
      <c r="AL37" s="804"/>
      <c r="AM37" s="804"/>
      <c r="AN37" s="804"/>
      <c r="AO37" s="804"/>
      <c r="AP37" s="804"/>
    </row>
    <row r="38" spans="1:52" ht="29.25" customHeight="1" x14ac:dyDescent="0.4">
      <c r="C38" s="835">
        <v>2</v>
      </c>
      <c r="D38" s="836"/>
      <c r="E38" s="804" t="str">
        <f>VLOOKUP(C38,U12組合せ!B$10:K$19,9,TRUE)</f>
        <v>FCみらいV</v>
      </c>
      <c r="F38" s="804"/>
      <c r="G38" s="804"/>
      <c r="H38" s="804"/>
      <c r="I38" s="804"/>
      <c r="J38" s="804"/>
      <c r="K38" s="804"/>
      <c r="L38" s="804"/>
      <c r="M38" s="804"/>
      <c r="N38" s="804"/>
      <c r="O38" s="89"/>
      <c r="P38" s="89"/>
      <c r="Q38" s="809">
        <v>5</v>
      </c>
      <c r="R38" s="811"/>
      <c r="S38" s="802" t="str">
        <f>VLOOKUP(Q38,U12組合せ!$B$10:K$19,9,TRUE)</f>
        <v>ウエストフットコムU11</v>
      </c>
      <c r="T38" s="802"/>
      <c r="U38" s="802"/>
      <c r="V38" s="802"/>
      <c r="W38" s="802"/>
      <c r="X38" s="802"/>
      <c r="Y38" s="802"/>
      <c r="Z38" s="802"/>
      <c r="AA38" s="802"/>
      <c r="AB38" s="802"/>
      <c r="AC38" s="91"/>
      <c r="AD38" s="90"/>
      <c r="AE38" s="835">
        <v>8</v>
      </c>
      <c r="AF38" s="836"/>
      <c r="AG38" s="804" t="str">
        <f>VLOOKUP(AE38,U12組合せ!$B$10:$K$19,9,TRUE)</f>
        <v>陽東SSS</v>
      </c>
      <c r="AH38" s="804"/>
      <c r="AI38" s="804"/>
      <c r="AJ38" s="804"/>
      <c r="AK38" s="804"/>
      <c r="AL38" s="804"/>
      <c r="AM38" s="804"/>
      <c r="AN38" s="804"/>
      <c r="AO38" s="804"/>
      <c r="AP38" s="804"/>
    </row>
    <row r="39" spans="1:52" ht="29.25" customHeight="1" x14ac:dyDescent="0.4">
      <c r="C39" s="835">
        <v>3</v>
      </c>
      <c r="D39" s="836"/>
      <c r="E39" s="804" t="str">
        <f>VLOOKUP(C39,U12組合せ!B$10:K$19,9,TRUE)</f>
        <v>宇大付属小SSS U11</v>
      </c>
      <c r="F39" s="804"/>
      <c r="G39" s="804"/>
      <c r="H39" s="804"/>
      <c r="I39" s="804"/>
      <c r="J39" s="804"/>
      <c r="K39" s="804"/>
      <c r="L39" s="804"/>
      <c r="M39" s="804"/>
      <c r="N39" s="804"/>
      <c r="O39" s="89"/>
      <c r="P39" s="89"/>
      <c r="Q39" s="809">
        <v>6</v>
      </c>
      <c r="R39" s="811"/>
      <c r="S39" s="802" t="str">
        <f>VLOOKUP(Q39,U12組合せ!$B$10:K$19,9,TRUE)</f>
        <v>SUGAOプロミネンス</v>
      </c>
      <c r="T39" s="802"/>
      <c r="U39" s="802"/>
      <c r="V39" s="802"/>
      <c r="W39" s="802"/>
      <c r="X39" s="802"/>
      <c r="Y39" s="802"/>
      <c r="Z39" s="802"/>
      <c r="AA39" s="802"/>
      <c r="AB39" s="802"/>
      <c r="AC39" s="91"/>
      <c r="AD39" s="90"/>
      <c r="AE39" s="835">
        <v>9</v>
      </c>
      <c r="AF39" s="836"/>
      <c r="AG39" s="804" t="str">
        <f>VLOOKUP(AE39,U12組合せ!$B$10:$K$19,9,TRUE)</f>
        <v>ジュベニール</v>
      </c>
      <c r="AH39" s="804"/>
      <c r="AI39" s="804"/>
      <c r="AJ39" s="804"/>
      <c r="AK39" s="804"/>
      <c r="AL39" s="804"/>
      <c r="AM39" s="804"/>
      <c r="AN39" s="804"/>
      <c r="AO39" s="804"/>
      <c r="AP39" s="804"/>
    </row>
    <row r="40" spans="1:52" ht="9" customHeight="1" x14ac:dyDescent="0.4">
      <c r="B40" s="2"/>
      <c r="O40" s="2"/>
      <c r="P40" s="2"/>
      <c r="AC40" s="85"/>
      <c r="AD40" s="2"/>
      <c r="AE40" s="2"/>
      <c r="AF40" s="2"/>
      <c r="AG40" s="2"/>
    </row>
    <row r="41" spans="1:52" ht="6.75" customHeight="1" x14ac:dyDescent="0.4">
      <c r="O41" s="2"/>
      <c r="P41" s="2"/>
      <c r="AC41" s="7"/>
    </row>
    <row r="42" spans="1:52" ht="6.75" customHeight="1" x14ac:dyDescent="0.4">
      <c r="C42" s="127"/>
      <c r="D42" s="128"/>
      <c r="E42" s="128"/>
      <c r="F42" s="128"/>
      <c r="G42" s="128"/>
      <c r="H42" s="12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128"/>
      <c r="U42" s="2"/>
      <c r="V42" s="128"/>
      <c r="W42" s="2"/>
      <c r="X42" s="128"/>
      <c r="Y42" s="2"/>
      <c r="Z42" s="128"/>
      <c r="AA42" s="2"/>
      <c r="AB42" s="128"/>
      <c r="AC42" s="128"/>
    </row>
    <row r="43" spans="1:52" ht="21" customHeight="1" x14ac:dyDescent="0.4">
      <c r="B43" s="118" t="str">
        <f ca="1">IF(B45="①","【監督会議 8：20～】","【監督会議 12：50～】")</f>
        <v>【監督会議 8：20～】</v>
      </c>
      <c r="C43" s="96"/>
      <c r="D43" s="96"/>
      <c r="E43" s="96"/>
      <c r="F43" s="96"/>
      <c r="G43" s="96"/>
      <c r="H43" s="96"/>
      <c r="I43" s="96" t="s">
        <v>330</v>
      </c>
      <c r="J43" s="96"/>
      <c r="K43" s="96"/>
      <c r="L43" s="96"/>
      <c r="M43" s="96"/>
      <c r="N43" s="96"/>
      <c r="O43" s="96"/>
      <c r="P43" s="96"/>
    </row>
    <row r="44" spans="1:52" ht="20.25" customHeight="1" x14ac:dyDescent="0.4">
      <c r="B44" s="10"/>
      <c r="C44" s="841" t="s">
        <v>3</v>
      </c>
      <c r="D44" s="842"/>
      <c r="E44" s="843"/>
      <c r="F44" s="853" t="s">
        <v>4</v>
      </c>
      <c r="G44" s="854"/>
      <c r="H44" s="854"/>
      <c r="I44" s="855"/>
      <c r="J44" s="841" t="s">
        <v>5</v>
      </c>
      <c r="K44" s="842"/>
      <c r="L44" s="842"/>
      <c r="M44" s="842"/>
      <c r="N44" s="842"/>
      <c r="O44" s="842"/>
      <c r="P44" s="843"/>
      <c r="Q44" s="841" t="s">
        <v>32</v>
      </c>
      <c r="R44" s="842"/>
      <c r="S44" s="842"/>
      <c r="T44" s="842"/>
      <c r="U44" s="842"/>
      <c r="V44" s="842"/>
      <c r="W44" s="843"/>
      <c r="X44" s="841" t="s">
        <v>5</v>
      </c>
      <c r="Y44" s="842"/>
      <c r="Z44" s="842"/>
      <c r="AA44" s="842"/>
      <c r="AB44" s="842"/>
      <c r="AC44" s="842"/>
      <c r="AD44" s="843"/>
      <c r="AE44" s="853" t="s">
        <v>4</v>
      </c>
      <c r="AF44" s="854"/>
      <c r="AG44" s="854"/>
      <c r="AH44" s="855"/>
      <c r="AI44" s="841" t="s">
        <v>6</v>
      </c>
      <c r="AJ44" s="842"/>
      <c r="AK44" s="842"/>
      <c r="AL44" s="842"/>
      <c r="AM44" s="842"/>
      <c r="AN44" s="842"/>
      <c r="AO44" s="842"/>
      <c r="AP44" s="843"/>
      <c r="AW44" s="2"/>
      <c r="AX44" s="2"/>
      <c r="AY44" s="2"/>
      <c r="AZ44" s="2"/>
    </row>
    <row r="45" spans="1:52" ht="20.100000000000001" customHeight="1" x14ac:dyDescent="0.4">
      <c r="B45" s="818" t="str">
        <f ca="1">DBCS(INDIRECT("U12対戦スケジュール!ｓ"&amp;(ROW()-1)/2-6))</f>
        <v>①</v>
      </c>
      <c r="C45" s="819">
        <f ca="1">INDIRECT("U12対戦スケジュール!ｔ"&amp;(ROW()-1)/2-6)</f>
        <v>0.375</v>
      </c>
      <c r="D45" s="820"/>
      <c r="E45" s="821"/>
      <c r="F45" s="847"/>
      <c r="G45" s="848"/>
      <c r="H45" s="848"/>
      <c r="I45" s="849"/>
      <c r="J45" s="827" t="str">
        <f>VLOOKUP(AR45,U12組合せ!B$10:K$19,9,TRUE)</f>
        <v>清原フューチャーズ</v>
      </c>
      <c r="K45" s="828"/>
      <c r="L45" s="828"/>
      <c r="M45" s="828"/>
      <c r="N45" s="828"/>
      <c r="O45" s="828"/>
      <c r="P45" s="828"/>
      <c r="Q45" s="829">
        <f>IF(OR(S45="",S46=""),"",S45+S46)</f>
        <v>2</v>
      </c>
      <c r="R45" s="829"/>
      <c r="S45" s="11">
        <v>2</v>
      </c>
      <c r="T45" s="12" t="s">
        <v>7</v>
      </c>
      <c r="U45" s="11">
        <v>0</v>
      </c>
      <c r="V45" s="829">
        <f>IF(OR(U45="",U46=""),"",U45+U46)</f>
        <v>0</v>
      </c>
      <c r="W45" s="829"/>
      <c r="X45" s="827" t="str">
        <f>VLOOKUP(AS45,U12組合せ!B$10:K$19,9,TRUE)</f>
        <v>ウエストフットコムU11</v>
      </c>
      <c r="Y45" s="828"/>
      <c r="Z45" s="828"/>
      <c r="AA45" s="828"/>
      <c r="AB45" s="828"/>
      <c r="AC45" s="828"/>
      <c r="AD45" s="828"/>
      <c r="AE45" s="847"/>
      <c r="AF45" s="848"/>
      <c r="AG45" s="848"/>
      <c r="AH45" s="849"/>
      <c r="AI45" s="829" t="str">
        <f ca="1">DBCS(INDIRECT("U12対戦スケジュール!ｘ"&amp;(ROW()-1)/2-6))</f>
        <v>６／４／５／６</v>
      </c>
      <c r="AJ45" s="826"/>
      <c r="AK45" s="826"/>
      <c r="AL45" s="826"/>
      <c r="AM45" s="826"/>
      <c r="AN45" s="826"/>
      <c r="AO45" s="826"/>
      <c r="AP45" s="826"/>
      <c r="AR45" s="129">
        <v>4</v>
      </c>
      <c r="AS45" s="129">
        <v>5</v>
      </c>
      <c r="AT45" s="129"/>
      <c r="AW45" s="2"/>
      <c r="AX45" s="2"/>
      <c r="AY45" s="2"/>
      <c r="AZ45" s="2"/>
    </row>
    <row r="46" spans="1:52" ht="20.100000000000001" customHeight="1" x14ac:dyDescent="0.4">
      <c r="B46" s="818"/>
      <c r="C46" s="822"/>
      <c r="D46" s="823"/>
      <c r="E46" s="824"/>
      <c r="F46" s="850"/>
      <c r="G46" s="851"/>
      <c r="H46" s="851"/>
      <c r="I46" s="852"/>
      <c r="J46" s="828"/>
      <c r="K46" s="828"/>
      <c r="L46" s="828"/>
      <c r="M46" s="828"/>
      <c r="N46" s="828"/>
      <c r="O46" s="828"/>
      <c r="P46" s="828"/>
      <c r="Q46" s="829"/>
      <c r="R46" s="829"/>
      <c r="S46" s="11">
        <v>0</v>
      </c>
      <c r="T46" s="12" t="s">
        <v>7</v>
      </c>
      <c r="U46" s="11">
        <v>0</v>
      </c>
      <c r="V46" s="829"/>
      <c r="W46" s="829"/>
      <c r="X46" s="828"/>
      <c r="Y46" s="828"/>
      <c r="Z46" s="828"/>
      <c r="AA46" s="828"/>
      <c r="AB46" s="828"/>
      <c r="AC46" s="828"/>
      <c r="AD46" s="828"/>
      <c r="AE46" s="850"/>
      <c r="AF46" s="851"/>
      <c r="AG46" s="851"/>
      <c r="AH46" s="852"/>
      <c r="AI46" s="826"/>
      <c r="AJ46" s="826"/>
      <c r="AK46" s="826"/>
      <c r="AL46" s="826"/>
      <c r="AM46" s="826"/>
      <c r="AN46" s="826"/>
      <c r="AO46" s="826"/>
      <c r="AP46" s="826"/>
      <c r="AR46" s="129"/>
      <c r="AS46" s="129"/>
      <c r="AW46" s="2"/>
      <c r="AX46" s="2"/>
      <c r="AY46" s="2"/>
      <c r="AZ46" s="2"/>
    </row>
    <row r="47" spans="1:52" ht="20.100000000000001" customHeight="1" x14ac:dyDescent="0.4">
      <c r="B47" s="818" t="str">
        <f ca="1">DBCS(INDIRECT("U12対戦スケジュール!ｓ"&amp;(ROW()-1)/2-6))</f>
        <v>②</v>
      </c>
      <c r="C47" s="819">
        <f ca="1">INDIRECT("U12対戦スケジュール!ｔ"&amp;(ROW()-1)/2-6)</f>
        <v>0.41699999999999998</v>
      </c>
      <c r="D47" s="820"/>
      <c r="E47" s="821"/>
      <c r="F47" s="847"/>
      <c r="G47" s="848"/>
      <c r="H47" s="848"/>
      <c r="I47" s="849"/>
      <c r="J47" s="827" t="str">
        <f>VLOOKUP(AR47,U12組合せ!B$10:K$19,9,TRUE)</f>
        <v>SUGAOプロミネンス</v>
      </c>
      <c r="K47" s="828"/>
      <c r="L47" s="828"/>
      <c r="M47" s="828"/>
      <c r="N47" s="828"/>
      <c r="O47" s="828"/>
      <c r="P47" s="828"/>
      <c r="Q47" s="856">
        <f>IF(OR(S47="",S48=""),"",S47+S48)</f>
        <v>0</v>
      </c>
      <c r="R47" s="857"/>
      <c r="S47" s="11">
        <v>0</v>
      </c>
      <c r="T47" s="12" t="s">
        <v>7</v>
      </c>
      <c r="U47" s="11">
        <v>0</v>
      </c>
      <c r="V47" s="856">
        <f>IF(OR(U47="",U48=""),"",U47+U48)</f>
        <v>1</v>
      </c>
      <c r="W47" s="857"/>
      <c r="X47" s="827" t="str">
        <f>VLOOKUP(AS47,U12組合せ!B$10:K$19,9,TRUE)</f>
        <v>ウエストフットコムU11</v>
      </c>
      <c r="Y47" s="828"/>
      <c r="Z47" s="828"/>
      <c r="AA47" s="828"/>
      <c r="AB47" s="828"/>
      <c r="AC47" s="828"/>
      <c r="AD47" s="828"/>
      <c r="AE47" s="847"/>
      <c r="AF47" s="848"/>
      <c r="AG47" s="848"/>
      <c r="AH47" s="849"/>
      <c r="AI47" s="829" t="str">
        <f ca="1">DBCS(INDIRECT("U12対戦スケジュール!ｘ"&amp;(ROW()-1)/2-6))</f>
        <v>４／５／６／４</v>
      </c>
      <c r="AJ47" s="826"/>
      <c r="AK47" s="826"/>
      <c r="AL47" s="826"/>
      <c r="AM47" s="826"/>
      <c r="AN47" s="826"/>
      <c r="AO47" s="826"/>
      <c r="AP47" s="826"/>
      <c r="AR47" s="129">
        <v>6</v>
      </c>
      <c r="AS47" s="129">
        <v>5</v>
      </c>
      <c r="AW47" s="2"/>
      <c r="AX47" s="2"/>
      <c r="AY47" s="2"/>
      <c r="AZ47" s="2"/>
    </row>
    <row r="48" spans="1:52" ht="20.100000000000001" customHeight="1" x14ac:dyDescent="0.4">
      <c r="B48" s="818"/>
      <c r="C48" s="822"/>
      <c r="D48" s="823"/>
      <c r="E48" s="824"/>
      <c r="F48" s="850"/>
      <c r="G48" s="851"/>
      <c r="H48" s="851"/>
      <c r="I48" s="852"/>
      <c r="J48" s="828"/>
      <c r="K48" s="828"/>
      <c r="L48" s="828"/>
      <c r="M48" s="828"/>
      <c r="N48" s="828"/>
      <c r="O48" s="828"/>
      <c r="P48" s="828"/>
      <c r="Q48" s="858"/>
      <c r="R48" s="859"/>
      <c r="S48" s="11">
        <v>0</v>
      </c>
      <c r="T48" s="12" t="s">
        <v>7</v>
      </c>
      <c r="U48" s="11">
        <v>1</v>
      </c>
      <c r="V48" s="858"/>
      <c r="W48" s="859"/>
      <c r="X48" s="828"/>
      <c r="Y48" s="828"/>
      <c r="Z48" s="828"/>
      <c r="AA48" s="828"/>
      <c r="AB48" s="828"/>
      <c r="AC48" s="828"/>
      <c r="AD48" s="828"/>
      <c r="AE48" s="850"/>
      <c r="AF48" s="851"/>
      <c r="AG48" s="851"/>
      <c r="AH48" s="852"/>
      <c r="AI48" s="826"/>
      <c r="AJ48" s="826"/>
      <c r="AK48" s="826"/>
      <c r="AL48" s="826"/>
      <c r="AM48" s="826"/>
      <c r="AN48" s="826"/>
      <c r="AO48" s="826"/>
      <c r="AP48" s="826"/>
      <c r="AR48" s="129"/>
      <c r="AS48" s="129"/>
      <c r="AW48" s="2"/>
      <c r="AX48" s="2"/>
      <c r="AY48" s="2"/>
      <c r="AZ48" s="2"/>
    </row>
    <row r="49" spans="1:45" ht="20.100000000000001" customHeight="1" x14ac:dyDescent="0.4">
      <c r="B49" s="818" t="str">
        <f ca="1">DBCS(INDIRECT("U12対戦スケジュール!ｓ"&amp;(ROW()-1)/2-6))</f>
        <v>③</v>
      </c>
      <c r="C49" s="819">
        <f ca="1">INDIRECT("U12対戦スケジュール!ｔ"&amp;(ROW()-1)/2-6)</f>
        <v>0.45899999999999996</v>
      </c>
      <c r="D49" s="820"/>
      <c r="E49" s="821"/>
      <c r="F49" s="847"/>
      <c r="G49" s="848"/>
      <c r="H49" s="848"/>
      <c r="I49" s="849"/>
      <c r="J49" s="827" t="str">
        <f>VLOOKUP(AR49,U12組合せ!B$10:K$19,9,TRUE)</f>
        <v>SUGAOプロミネンス</v>
      </c>
      <c r="K49" s="828"/>
      <c r="L49" s="828"/>
      <c r="M49" s="828"/>
      <c r="N49" s="828"/>
      <c r="O49" s="828"/>
      <c r="P49" s="828"/>
      <c r="Q49" s="856">
        <f>IF(OR(S49="",S50=""),"",S49+S50)</f>
        <v>0</v>
      </c>
      <c r="R49" s="857"/>
      <c r="S49" s="11">
        <v>0</v>
      </c>
      <c r="T49" s="12" t="s">
        <v>7</v>
      </c>
      <c r="U49" s="11">
        <v>6</v>
      </c>
      <c r="V49" s="856">
        <f>IF(OR(U49="",U50=""),"",U49+U50)</f>
        <v>10</v>
      </c>
      <c r="W49" s="857"/>
      <c r="X49" s="827" t="str">
        <f>VLOOKUP(AS49,U12組合せ!B$10:K$19,9,TRUE)</f>
        <v>清原フューチャーズ</v>
      </c>
      <c r="Y49" s="828"/>
      <c r="Z49" s="828"/>
      <c r="AA49" s="828"/>
      <c r="AB49" s="828"/>
      <c r="AC49" s="828"/>
      <c r="AD49" s="828"/>
      <c r="AE49" s="847"/>
      <c r="AF49" s="848"/>
      <c r="AG49" s="848"/>
      <c r="AH49" s="849"/>
      <c r="AI49" s="829" t="str">
        <f ca="1">DBCS(INDIRECT("U12対戦スケジュール!ｘ"&amp;(ROW()-1)/2-6))</f>
        <v>５／６／４／５</v>
      </c>
      <c r="AJ49" s="826"/>
      <c r="AK49" s="826"/>
      <c r="AL49" s="826"/>
      <c r="AM49" s="826"/>
      <c r="AN49" s="826"/>
      <c r="AO49" s="826"/>
      <c r="AP49" s="826"/>
      <c r="AR49" s="129">
        <v>6</v>
      </c>
      <c r="AS49" s="129">
        <v>4</v>
      </c>
    </row>
    <row r="50" spans="1:45" ht="20.100000000000001" customHeight="1" x14ac:dyDescent="0.4">
      <c r="B50" s="818"/>
      <c r="C50" s="822"/>
      <c r="D50" s="823"/>
      <c r="E50" s="824"/>
      <c r="F50" s="850"/>
      <c r="G50" s="851"/>
      <c r="H50" s="851"/>
      <c r="I50" s="852"/>
      <c r="J50" s="828"/>
      <c r="K50" s="828"/>
      <c r="L50" s="828"/>
      <c r="M50" s="828"/>
      <c r="N50" s="828"/>
      <c r="O50" s="828"/>
      <c r="P50" s="828"/>
      <c r="Q50" s="858"/>
      <c r="R50" s="859"/>
      <c r="S50" s="11">
        <v>0</v>
      </c>
      <c r="T50" s="12" t="s">
        <v>7</v>
      </c>
      <c r="U50" s="11">
        <v>4</v>
      </c>
      <c r="V50" s="858"/>
      <c r="W50" s="859"/>
      <c r="X50" s="828"/>
      <c r="Y50" s="828"/>
      <c r="Z50" s="828"/>
      <c r="AA50" s="828"/>
      <c r="AB50" s="828"/>
      <c r="AC50" s="828"/>
      <c r="AD50" s="828"/>
      <c r="AE50" s="850"/>
      <c r="AF50" s="851"/>
      <c r="AG50" s="851"/>
      <c r="AH50" s="852"/>
      <c r="AI50" s="826"/>
      <c r="AJ50" s="826"/>
      <c r="AK50" s="826"/>
      <c r="AL50" s="826"/>
      <c r="AM50" s="826"/>
      <c r="AN50" s="826"/>
      <c r="AO50" s="826"/>
      <c r="AP50" s="826"/>
      <c r="AR50" s="129"/>
      <c r="AS50" s="129"/>
    </row>
    <row r="51" spans="1:45" ht="20.100000000000001" customHeight="1" x14ac:dyDescent="0.4">
      <c r="B51" s="863"/>
      <c r="C51" s="819"/>
      <c r="D51" s="820"/>
      <c r="E51" s="821"/>
      <c r="F51" s="847"/>
      <c r="G51" s="848"/>
      <c r="H51" s="848"/>
      <c r="I51" s="849"/>
      <c r="J51" s="871"/>
      <c r="K51" s="872"/>
      <c r="L51" s="872"/>
      <c r="M51" s="872"/>
      <c r="N51" s="872"/>
      <c r="O51" s="872"/>
      <c r="P51" s="873"/>
      <c r="Q51" s="856"/>
      <c r="R51" s="857"/>
      <c r="S51" s="80"/>
      <c r="T51" s="81"/>
      <c r="U51" s="80"/>
      <c r="V51" s="856"/>
      <c r="W51" s="857"/>
      <c r="X51" s="871"/>
      <c r="Y51" s="872"/>
      <c r="Z51" s="872"/>
      <c r="AA51" s="872"/>
      <c r="AB51" s="872"/>
      <c r="AC51" s="872"/>
      <c r="AD51" s="873"/>
      <c r="AE51" s="847"/>
      <c r="AF51" s="848"/>
      <c r="AG51" s="848"/>
      <c r="AH51" s="849"/>
      <c r="AI51" s="865"/>
      <c r="AJ51" s="866"/>
      <c r="AK51" s="866"/>
      <c r="AL51" s="866"/>
      <c r="AM51" s="866"/>
      <c r="AN51" s="866"/>
      <c r="AO51" s="866"/>
      <c r="AP51" s="867"/>
      <c r="AR51" s="129"/>
      <c r="AS51" s="129"/>
    </row>
    <row r="52" spans="1:45" ht="20.100000000000001" customHeight="1" x14ac:dyDescent="0.4">
      <c r="B52" s="864"/>
      <c r="C52" s="822"/>
      <c r="D52" s="823"/>
      <c r="E52" s="824"/>
      <c r="F52" s="850"/>
      <c r="G52" s="851"/>
      <c r="H52" s="851"/>
      <c r="I52" s="852"/>
      <c r="J52" s="874"/>
      <c r="K52" s="875"/>
      <c r="L52" s="875"/>
      <c r="M52" s="875"/>
      <c r="N52" s="875"/>
      <c r="O52" s="875"/>
      <c r="P52" s="876"/>
      <c r="Q52" s="858"/>
      <c r="R52" s="859"/>
      <c r="S52" s="11"/>
      <c r="T52" s="12"/>
      <c r="U52" s="11"/>
      <c r="V52" s="858"/>
      <c r="W52" s="859"/>
      <c r="X52" s="874"/>
      <c r="Y52" s="875"/>
      <c r="Z52" s="875"/>
      <c r="AA52" s="875"/>
      <c r="AB52" s="875"/>
      <c r="AC52" s="875"/>
      <c r="AD52" s="876"/>
      <c r="AE52" s="850"/>
      <c r="AF52" s="851"/>
      <c r="AG52" s="851"/>
      <c r="AH52" s="852"/>
      <c r="AI52" s="868"/>
      <c r="AJ52" s="869"/>
      <c r="AK52" s="869"/>
      <c r="AL52" s="869"/>
      <c r="AM52" s="869"/>
      <c r="AN52" s="869"/>
      <c r="AO52" s="869"/>
      <c r="AP52" s="870"/>
      <c r="AR52" s="129"/>
      <c r="AS52" s="129"/>
    </row>
    <row r="53" spans="1:45" ht="20.100000000000001" customHeight="1" x14ac:dyDescent="0.4">
      <c r="B53" s="863"/>
      <c r="C53" s="819"/>
      <c r="D53" s="820"/>
      <c r="E53" s="821"/>
      <c r="F53" s="847"/>
      <c r="G53" s="848"/>
      <c r="H53" s="848"/>
      <c r="I53" s="849"/>
      <c r="J53" s="871"/>
      <c r="K53" s="872"/>
      <c r="L53" s="872"/>
      <c r="M53" s="872"/>
      <c r="N53" s="872"/>
      <c r="O53" s="872"/>
      <c r="P53" s="873"/>
      <c r="Q53" s="856"/>
      <c r="R53" s="857"/>
      <c r="S53" s="11"/>
      <c r="T53" s="12"/>
      <c r="U53" s="11"/>
      <c r="V53" s="856"/>
      <c r="W53" s="857"/>
      <c r="X53" s="871"/>
      <c r="Y53" s="872"/>
      <c r="Z53" s="872"/>
      <c r="AA53" s="872"/>
      <c r="AB53" s="872"/>
      <c r="AC53" s="872"/>
      <c r="AD53" s="873"/>
      <c r="AE53" s="847"/>
      <c r="AF53" s="848"/>
      <c r="AG53" s="848"/>
      <c r="AH53" s="849"/>
      <c r="AI53" s="865"/>
      <c r="AJ53" s="866"/>
      <c r="AK53" s="866"/>
      <c r="AL53" s="866"/>
      <c r="AM53" s="866"/>
      <c r="AN53" s="866"/>
      <c r="AO53" s="866"/>
      <c r="AP53" s="867"/>
      <c r="AR53" s="129"/>
      <c r="AS53" s="129"/>
    </row>
    <row r="54" spans="1:45" ht="20.100000000000001" customHeight="1" x14ac:dyDescent="0.4">
      <c r="B54" s="864"/>
      <c r="C54" s="822"/>
      <c r="D54" s="823"/>
      <c r="E54" s="824"/>
      <c r="F54" s="850"/>
      <c r="G54" s="851"/>
      <c r="H54" s="851"/>
      <c r="I54" s="852"/>
      <c r="J54" s="874"/>
      <c r="K54" s="875"/>
      <c r="L54" s="875"/>
      <c r="M54" s="875"/>
      <c r="N54" s="875"/>
      <c r="O54" s="875"/>
      <c r="P54" s="876"/>
      <c r="Q54" s="858"/>
      <c r="R54" s="859"/>
      <c r="S54" s="11"/>
      <c r="T54" s="12"/>
      <c r="U54" s="11"/>
      <c r="V54" s="858"/>
      <c r="W54" s="859"/>
      <c r="X54" s="874"/>
      <c r="Y54" s="875"/>
      <c r="Z54" s="875"/>
      <c r="AA54" s="875"/>
      <c r="AB54" s="875"/>
      <c r="AC54" s="875"/>
      <c r="AD54" s="876"/>
      <c r="AE54" s="850"/>
      <c r="AF54" s="851"/>
      <c r="AG54" s="851"/>
      <c r="AH54" s="852"/>
      <c r="AI54" s="868"/>
      <c r="AJ54" s="869"/>
      <c r="AK54" s="869"/>
      <c r="AL54" s="869"/>
      <c r="AM54" s="869"/>
      <c r="AN54" s="869"/>
      <c r="AO54" s="869"/>
      <c r="AP54" s="870"/>
      <c r="AR54" s="129"/>
      <c r="AS54" s="129"/>
    </row>
    <row r="55" spans="1:45" ht="20.100000000000001" customHeight="1" x14ac:dyDescent="0.4">
      <c r="B55" s="863"/>
      <c r="C55" s="819"/>
      <c r="D55" s="820"/>
      <c r="E55" s="821"/>
      <c r="F55" s="847"/>
      <c r="G55" s="848"/>
      <c r="H55" s="848"/>
      <c r="I55" s="849"/>
      <c r="J55" s="871"/>
      <c r="K55" s="872"/>
      <c r="L55" s="872"/>
      <c r="M55" s="872"/>
      <c r="N55" s="872"/>
      <c r="O55" s="872"/>
      <c r="P55" s="873"/>
      <c r="Q55" s="856"/>
      <c r="R55" s="857"/>
      <c r="S55" s="11"/>
      <c r="T55" s="12"/>
      <c r="U55" s="11"/>
      <c r="V55" s="856"/>
      <c r="W55" s="857"/>
      <c r="X55" s="871"/>
      <c r="Y55" s="872"/>
      <c r="Z55" s="872"/>
      <c r="AA55" s="872"/>
      <c r="AB55" s="872"/>
      <c r="AC55" s="872"/>
      <c r="AD55" s="873"/>
      <c r="AE55" s="847"/>
      <c r="AF55" s="848"/>
      <c r="AG55" s="848"/>
      <c r="AH55" s="849"/>
      <c r="AI55" s="865"/>
      <c r="AJ55" s="866"/>
      <c r="AK55" s="866"/>
      <c r="AL55" s="866"/>
      <c r="AM55" s="866"/>
      <c r="AN55" s="866"/>
      <c r="AO55" s="866"/>
      <c r="AP55" s="867"/>
      <c r="AR55" s="129"/>
      <c r="AS55" s="129"/>
    </row>
    <row r="56" spans="1:45" ht="20.100000000000001" customHeight="1" x14ac:dyDescent="0.4">
      <c r="B56" s="864"/>
      <c r="C56" s="822"/>
      <c r="D56" s="823"/>
      <c r="E56" s="824"/>
      <c r="F56" s="850"/>
      <c r="G56" s="851"/>
      <c r="H56" s="851"/>
      <c r="I56" s="852"/>
      <c r="J56" s="874"/>
      <c r="K56" s="875"/>
      <c r="L56" s="875"/>
      <c r="M56" s="875"/>
      <c r="N56" s="875"/>
      <c r="O56" s="875"/>
      <c r="P56" s="876"/>
      <c r="Q56" s="858"/>
      <c r="R56" s="859"/>
      <c r="S56" s="11"/>
      <c r="T56" s="12"/>
      <c r="U56" s="11"/>
      <c r="V56" s="858"/>
      <c r="W56" s="859"/>
      <c r="X56" s="874"/>
      <c r="Y56" s="875"/>
      <c r="Z56" s="875"/>
      <c r="AA56" s="875"/>
      <c r="AB56" s="875"/>
      <c r="AC56" s="875"/>
      <c r="AD56" s="876"/>
      <c r="AE56" s="850"/>
      <c r="AF56" s="851"/>
      <c r="AG56" s="851"/>
      <c r="AH56" s="852"/>
      <c r="AI56" s="868"/>
      <c r="AJ56" s="869"/>
      <c r="AK56" s="869"/>
      <c r="AL56" s="869"/>
      <c r="AM56" s="869"/>
      <c r="AN56" s="869"/>
      <c r="AO56" s="869"/>
      <c r="AP56" s="870"/>
      <c r="AR56" s="129"/>
      <c r="AS56" s="129"/>
    </row>
    <row r="57" spans="1:45" ht="20.100000000000001" customHeight="1" x14ac:dyDescent="0.4">
      <c r="B57" s="863"/>
      <c r="C57" s="877"/>
      <c r="D57" s="878"/>
      <c r="E57" s="879"/>
      <c r="F57" s="847"/>
      <c r="G57" s="848"/>
      <c r="H57" s="848"/>
      <c r="I57" s="849"/>
      <c r="J57" s="883"/>
      <c r="K57" s="884"/>
      <c r="L57" s="884"/>
      <c r="M57" s="884"/>
      <c r="N57" s="884"/>
      <c r="O57" s="884"/>
      <c r="P57" s="885"/>
      <c r="Q57" s="856"/>
      <c r="R57" s="857"/>
      <c r="S57" s="11"/>
      <c r="T57" s="12"/>
      <c r="U57" s="11"/>
      <c r="V57" s="856"/>
      <c r="W57" s="857"/>
      <c r="X57" s="883"/>
      <c r="Y57" s="884"/>
      <c r="Z57" s="884"/>
      <c r="AA57" s="884"/>
      <c r="AB57" s="884"/>
      <c r="AC57" s="884"/>
      <c r="AD57" s="885"/>
      <c r="AE57" s="847"/>
      <c r="AF57" s="848"/>
      <c r="AG57" s="848"/>
      <c r="AH57" s="849"/>
      <c r="AI57" s="856"/>
      <c r="AJ57" s="897"/>
      <c r="AK57" s="897"/>
      <c r="AL57" s="897"/>
      <c r="AM57" s="897"/>
      <c r="AN57" s="897"/>
      <c r="AO57" s="897"/>
      <c r="AP57" s="857"/>
      <c r="AR57" s="129"/>
      <c r="AS57" s="129"/>
    </row>
    <row r="58" spans="1:45" ht="20.100000000000001" customHeight="1" x14ac:dyDescent="0.4">
      <c r="B58" s="864"/>
      <c r="C58" s="880"/>
      <c r="D58" s="881"/>
      <c r="E58" s="882"/>
      <c r="F58" s="850"/>
      <c r="G58" s="851"/>
      <c r="H58" s="851"/>
      <c r="I58" s="852"/>
      <c r="J58" s="886"/>
      <c r="K58" s="887"/>
      <c r="L58" s="887"/>
      <c r="M58" s="887"/>
      <c r="N58" s="887"/>
      <c r="O58" s="887"/>
      <c r="P58" s="888"/>
      <c r="Q58" s="858"/>
      <c r="R58" s="859"/>
      <c r="S58" s="11"/>
      <c r="T58" s="12"/>
      <c r="U58" s="11"/>
      <c r="V58" s="858"/>
      <c r="W58" s="859"/>
      <c r="X58" s="886"/>
      <c r="Y58" s="887"/>
      <c r="Z58" s="887"/>
      <c r="AA58" s="887"/>
      <c r="AB58" s="887"/>
      <c r="AC58" s="887"/>
      <c r="AD58" s="888"/>
      <c r="AE58" s="850"/>
      <c r="AF58" s="851"/>
      <c r="AG58" s="851"/>
      <c r="AH58" s="852"/>
      <c r="AI58" s="858"/>
      <c r="AJ58" s="898"/>
      <c r="AK58" s="898"/>
      <c r="AL58" s="898"/>
      <c r="AM58" s="898"/>
      <c r="AN58" s="898"/>
      <c r="AO58" s="898"/>
      <c r="AP58" s="859"/>
      <c r="AR58" s="129"/>
      <c r="AS58" s="129"/>
    </row>
    <row r="59" spans="1:45" ht="15.75" customHeight="1" x14ac:dyDescent="0.4">
      <c r="A59" s="2"/>
      <c r="B59" s="3"/>
      <c r="C59" s="84"/>
      <c r="D59" s="84"/>
      <c r="E59" s="84"/>
      <c r="F59" s="3"/>
      <c r="G59" s="3"/>
      <c r="H59" s="3"/>
      <c r="I59" s="3"/>
      <c r="J59" s="3"/>
      <c r="K59" s="83"/>
      <c r="L59" s="83"/>
      <c r="M59" s="4"/>
      <c r="N59" s="5"/>
      <c r="O59" s="4"/>
      <c r="P59" s="83"/>
      <c r="Q59" s="83"/>
      <c r="R59" s="3"/>
      <c r="S59" s="3"/>
      <c r="T59" s="3"/>
      <c r="U59" s="3"/>
      <c r="V59" s="3"/>
      <c r="W59" s="6"/>
      <c r="X59" s="6"/>
      <c r="Y59" s="6"/>
      <c r="Z59" s="6"/>
      <c r="AA59" s="6"/>
      <c r="AB59" s="6"/>
      <c r="AC59" s="2"/>
    </row>
    <row r="60" spans="1:45" ht="20.25" customHeight="1" x14ac:dyDescent="0.4">
      <c r="D60" s="899" t="s">
        <v>8</v>
      </c>
      <c r="E60" s="900"/>
      <c r="F60" s="900"/>
      <c r="G60" s="900"/>
      <c r="H60" s="900"/>
      <c r="I60" s="901"/>
      <c r="J60" s="899" t="s">
        <v>5</v>
      </c>
      <c r="K60" s="900"/>
      <c r="L60" s="900"/>
      <c r="M60" s="900"/>
      <c r="N60" s="900"/>
      <c r="O60" s="900"/>
      <c r="P60" s="900"/>
      <c r="Q60" s="901"/>
      <c r="R60" s="902" t="s">
        <v>9</v>
      </c>
      <c r="S60" s="903"/>
      <c r="T60" s="903"/>
      <c r="U60" s="903"/>
      <c r="V60" s="903"/>
      <c r="W60" s="903"/>
      <c r="X60" s="903"/>
      <c r="Y60" s="903"/>
      <c r="Z60" s="904"/>
      <c r="AA60" s="905" t="s">
        <v>10</v>
      </c>
      <c r="AB60" s="906"/>
      <c r="AC60" s="907"/>
      <c r="AD60" s="905" t="s">
        <v>11</v>
      </c>
      <c r="AE60" s="906"/>
      <c r="AF60" s="906"/>
      <c r="AG60" s="906"/>
      <c r="AH60" s="906"/>
      <c r="AI60" s="906"/>
      <c r="AJ60" s="906"/>
      <c r="AK60" s="906"/>
      <c r="AL60" s="906"/>
      <c r="AM60" s="907"/>
    </row>
    <row r="61" spans="1:45" ht="30" customHeight="1" x14ac:dyDescent="0.4">
      <c r="D61" s="899" t="s">
        <v>12</v>
      </c>
      <c r="E61" s="900"/>
      <c r="F61" s="900"/>
      <c r="G61" s="900"/>
      <c r="H61" s="900"/>
      <c r="I61" s="901"/>
      <c r="J61" s="899"/>
      <c r="K61" s="900"/>
      <c r="L61" s="900"/>
      <c r="M61" s="900"/>
      <c r="N61" s="900"/>
      <c r="O61" s="900"/>
      <c r="P61" s="900"/>
      <c r="Q61" s="901"/>
      <c r="R61" s="902"/>
      <c r="S61" s="903"/>
      <c r="T61" s="903"/>
      <c r="U61" s="903"/>
      <c r="V61" s="903"/>
      <c r="W61" s="903"/>
      <c r="X61" s="903"/>
      <c r="Y61" s="903"/>
      <c r="Z61" s="904"/>
      <c r="AA61" s="894"/>
      <c r="AB61" s="895"/>
      <c r="AC61" s="896"/>
      <c r="AD61" s="908"/>
      <c r="AE61" s="909"/>
      <c r="AF61" s="909"/>
      <c r="AG61" s="909"/>
      <c r="AH61" s="909"/>
      <c r="AI61" s="909"/>
      <c r="AJ61" s="909"/>
      <c r="AK61" s="909"/>
      <c r="AL61" s="909"/>
      <c r="AM61" s="910"/>
    </row>
    <row r="62" spans="1:45" ht="30" customHeight="1" x14ac:dyDescent="0.4">
      <c r="D62" s="899" t="s">
        <v>12</v>
      </c>
      <c r="E62" s="900"/>
      <c r="F62" s="900"/>
      <c r="G62" s="900"/>
      <c r="H62" s="900"/>
      <c r="I62" s="901"/>
      <c r="J62" s="899"/>
      <c r="K62" s="900"/>
      <c r="L62" s="900"/>
      <c r="M62" s="900"/>
      <c r="N62" s="900"/>
      <c r="O62" s="900"/>
      <c r="P62" s="900"/>
      <c r="Q62" s="901"/>
      <c r="R62" s="902"/>
      <c r="S62" s="903"/>
      <c r="T62" s="903"/>
      <c r="U62" s="903"/>
      <c r="V62" s="903"/>
      <c r="W62" s="903"/>
      <c r="X62" s="903"/>
      <c r="Y62" s="903"/>
      <c r="Z62" s="904"/>
      <c r="AA62" s="905"/>
      <c r="AB62" s="906"/>
      <c r="AC62" s="907"/>
      <c r="AD62" s="908"/>
      <c r="AE62" s="909"/>
      <c r="AF62" s="909"/>
      <c r="AG62" s="909"/>
      <c r="AH62" s="909"/>
      <c r="AI62" s="909"/>
      <c r="AJ62" s="909"/>
      <c r="AK62" s="909"/>
      <c r="AL62" s="909"/>
      <c r="AM62" s="910"/>
    </row>
    <row r="63" spans="1:45" ht="30" customHeight="1" x14ac:dyDescent="0.4">
      <c r="D63" s="818" t="s">
        <v>12</v>
      </c>
      <c r="E63" s="818"/>
      <c r="F63" s="818"/>
      <c r="G63" s="818"/>
      <c r="H63" s="818"/>
      <c r="I63" s="818"/>
      <c r="J63" s="818"/>
      <c r="K63" s="818"/>
      <c r="L63" s="818"/>
      <c r="M63" s="818"/>
      <c r="N63" s="818"/>
      <c r="O63" s="818"/>
      <c r="P63" s="818"/>
      <c r="Q63" s="818"/>
      <c r="R63" s="838"/>
      <c r="S63" s="838"/>
      <c r="T63" s="838"/>
      <c r="U63" s="838"/>
      <c r="V63" s="838"/>
      <c r="W63" s="838"/>
      <c r="X63" s="838"/>
      <c r="Y63" s="838"/>
      <c r="Z63" s="838"/>
      <c r="AA63" s="839"/>
      <c r="AB63" s="839"/>
      <c r="AC63" s="839"/>
      <c r="AD63" s="840"/>
      <c r="AE63" s="840"/>
      <c r="AF63" s="840"/>
      <c r="AG63" s="840"/>
      <c r="AH63" s="840"/>
      <c r="AI63" s="840"/>
      <c r="AJ63" s="840"/>
      <c r="AK63" s="840"/>
      <c r="AL63" s="840"/>
      <c r="AM63" s="840"/>
    </row>
    <row r="64" spans="1:45" ht="12" customHeight="1" x14ac:dyDescent="0.4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83"/>
      <c r="S64" s="83"/>
      <c r="T64" s="83"/>
      <c r="U64" s="83"/>
      <c r="V64" s="83"/>
      <c r="W64" s="83"/>
      <c r="X64" s="83"/>
      <c r="Y64" s="83"/>
      <c r="Z64" s="83"/>
      <c r="AA64" s="5"/>
      <c r="AB64" s="5"/>
      <c r="AC64" s="131"/>
      <c r="AD64" s="132"/>
      <c r="AE64" s="132"/>
      <c r="AF64" s="132"/>
      <c r="AG64" s="132"/>
      <c r="AH64" s="132"/>
      <c r="AI64" s="132"/>
      <c r="AJ64" s="132"/>
      <c r="AK64" s="130"/>
      <c r="AL64" s="130"/>
      <c r="AM64" s="130"/>
    </row>
    <row r="65" spans="2:46" ht="14.25" customHeight="1" x14ac:dyDescent="0.4">
      <c r="B65" s="599" t="str">
        <f>U12組合せ!$B$1</f>
        <v>ＪＦＡ　Ｕ-１２サッカーリーグ2021（in栃木） 宇都宮地区リーグ戦（前期）</v>
      </c>
      <c r="C65" s="599"/>
      <c r="D65" s="599"/>
      <c r="E65" s="599"/>
      <c r="F65" s="599"/>
      <c r="G65" s="599"/>
      <c r="H65" s="599"/>
      <c r="I65" s="599"/>
      <c r="J65" s="599"/>
      <c r="K65" s="599"/>
      <c r="L65" s="599"/>
      <c r="M65" s="599"/>
      <c r="N65" s="599"/>
      <c r="O65" s="599"/>
      <c r="P65" s="599"/>
      <c r="Q65" s="599"/>
      <c r="R65" s="599"/>
      <c r="S65" s="599"/>
      <c r="T65" s="599"/>
      <c r="U65" s="599"/>
      <c r="V65" s="599"/>
      <c r="W65" s="599"/>
      <c r="X65" s="599"/>
      <c r="Y65" s="599"/>
      <c r="Z65" s="599"/>
      <c r="AA65" s="599"/>
      <c r="AB65" s="599"/>
      <c r="AC65" s="612" t="str">
        <f>"【"&amp;(U12組合せ!$J$3)&amp;"】"</f>
        <v>【Ｄ ブロック】</v>
      </c>
      <c r="AD65" s="612"/>
      <c r="AE65" s="612"/>
      <c r="AF65" s="612"/>
      <c r="AG65" s="612"/>
      <c r="AH65" s="612"/>
      <c r="AI65" s="612"/>
      <c r="AJ65" s="612"/>
      <c r="AK65" s="602" t="str">
        <f>"第"&amp;(U12組合せ!$D$21)</f>
        <v>第１節</v>
      </c>
      <c r="AL65" s="602"/>
      <c r="AM65" s="602"/>
      <c r="AN65" s="602"/>
      <c r="AO65" s="602"/>
      <c r="AP65" s="597" t="s">
        <v>333</v>
      </c>
      <c r="AQ65" s="598"/>
    </row>
    <row r="66" spans="2:46" ht="24" customHeight="1" x14ac:dyDescent="0.4">
      <c r="B66" s="599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599"/>
      <c r="X66" s="599"/>
      <c r="Y66" s="599"/>
      <c r="Z66" s="599"/>
      <c r="AA66" s="599"/>
      <c r="AB66" s="599"/>
      <c r="AC66" s="601"/>
      <c r="AD66" s="601"/>
      <c r="AE66" s="601"/>
      <c r="AF66" s="601"/>
      <c r="AG66" s="601"/>
      <c r="AH66" s="601"/>
      <c r="AI66" s="601"/>
      <c r="AJ66" s="601"/>
      <c r="AK66" s="601"/>
      <c r="AL66" s="601"/>
      <c r="AM66" s="601"/>
      <c r="AN66" s="601"/>
      <c r="AO66" s="601"/>
      <c r="AP66" s="598"/>
      <c r="AQ66" s="598"/>
    </row>
    <row r="67" spans="2:46" ht="27.75" customHeight="1" x14ac:dyDescent="0.4">
      <c r="C67" s="808" t="s">
        <v>1</v>
      </c>
      <c r="D67" s="808"/>
      <c r="E67" s="808"/>
      <c r="F67" s="808"/>
      <c r="G67" s="807" t="str">
        <f>U12対戦スケジュール!U21</f>
        <v>石井 5 PM</v>
      </c>
      <c r="H67" s="807"/>
      <c r="I67" s="807"/>
      <c r="J67" s="807"/>
      <c r="K67" s="807"/>
      <c r="L67" s="807"/>
      <c r="M67" s="807"/>
      <c r="N67" s="807"/>
      <c r="O67" s="807"/>
      <c r="P67" s="808" t="s">
        <v>0</v>
      </c>
      <c r="Q67" s="808"/>
      <c r="R67" s="808"/>
      <c r="S67" s="808"/>
      <c r="T67" s="807" t="str">
        <f>X80</f>
        <v>宝木キッカーズ</v>
      </c>
      <c r="U67" s="807"/>
      <c r="V67" s="807"/>
      <c r="W67" s="807"/>
      <c r="X67" s="807"/>
      <c r="Y67" s="807"/>
      <c r="Z67" s="807"/>
      <c r="AA67" s="807"/>
      <c r="AB67" s="807"/>
      <c r="AC67" s="808" t="s">
        <v>2</v>
      </c>
      <c r="AD67" s="808"/>
      <c r="AE67" s="808"/>
      <c r="AF67" s="808"/>
      <c r="AG67" s="812">
        <f>U12対戦スケジュール!F3</f>
        <v>44296</v>
      </c>
      <c r="AH67" s="813"/>
      <c r="AI67" s="813"/>
      <c r="AJ67" s="813"/>
      <c r="AK67" s="813"/>
      <c r="AL67" s="813"/>
      <c r="AM67" s="805" t="str">
        <f>"（"&amp;TEXT(AG67,"aaa")&amp;"）"</f>
        <v>（土）</v>
      </c>
      <c r="AN67" s="805"/>
      <c r="AO67" s="806"/>
    </row>
    <row r="68" spans="2:46" ht="15" customHeight="1" x14ac:dyDescent="0.4">
      <c r="C68" s="2" t="str">
        <f>U12組合せ!K26</f>
        <v>D789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7"/>
      <c r="X68" s="7"/>
      <c r="Y68" s="7"/>
      <c r="Z68" s="7"/>
      <c r="AA68" s="7"/>
      <c r="AB68" s="7"/>
      <c r="AC68" s="7"/>
    </row>
    <row r="69" spans="2:46" ht="29.25" customHeight="1" x14ac:dyDescent="0.4">
      <c r="C69" s="803">
        <v>1</v>
      </c>
      <c r="D69" s="803"/>
      <c r="E69" s="804" t="str">
        <f>VLOOKUP(C69,U12組合せ!B$10:$K$19,9,TRUE)</f>
        <v>FCブロケード</v>
      </c>
      <c r="F69" s="804"/>
      <c r="G69" s="804"/>
      <c r="H69" s="804"/>
      <c r="I69" s="804"/>
      <c r="J69" s="804"/>
      <c r="K69" s="804"/>
      <c r="L69" s="804"/>
      <c r="M69" s="804"/>
      <c r="N69" s="804"/>
      <c r="O69" s="89"/>
      <c r="P69" s="89"/>
      <c r="Q69" s="803">
        <v>4</v>
      </c>
      <c r="R69" s="803"/>
      <c r="S69" s="804" t="str">
        <f>VLOOKUP(Q69,U12組合せ!$B$10:$K$19,9,TRUE)</f>
        <v>清原フューチャーズ</v>
      </c>
      <c r="T69" s="804"/>
      <c r="U69" s="804"/>
      <c r="V69" s="804"/>
      <c r="W69" s="804"/>
      <c r="X69" s="804"/>
      <c r="Y69" s="804"/>
      <c r="Z69" s="804"/>
      <c r="AA69" s="804"/>
      <c r="AB69" s="804"/>
      <c r="AC69" s="91"/>
      <c r="AD69" s="90"/>
      <c r="AE69" s="807">
        <v>7</v>
      </c>
      <c r="AF69" s="807"/>
      <c r="AG69" s="802" t="str">
        <f>VLOOKUP(AE69,U12組合せ!$B$10:$K$19,9,TRUE)</f>
        <v>宝木キッカーズ</v>
      </c>
      <c r="AH69" s="802"/>
      <c r="AI69" s="802"/>
      <c r="AJ69" s="802"/>
      <c r="AK69" s="802"/>
      <c r="AL69" s="802"/>
      <c r="AM69" s="802"/>
      <c r="AN69" s="802"/>
      <c r="AO69" s="802"/>
      <c r="AP69" s="802"/>
      <c r="AR69" s="1">
        <f>76/2</f>
        <v>38</v>
      </c>
    </row>
    <row r="70" spans="2:46" ht="29.25" customHeight="1" x14ac:dyDescent="0.4">
      <c r="C70" s="803">
        <v>2</v>
      </c>
      <c r="D70" s="803"/>
      <c r="E70" s="804" t="str">
        <f>VLOOKUP(C70,U12組合せ!B$10:$K$19,9,TRUE)</f>
        <v>FCみらいV</v>
      </c>
      <c r="F70" s="804"/>
      <c r="G70" s="804"/>
      <c r="H70" s="804"/>
      <c r="I70" s="804"/>
      <c r="J70" s="804"/>
      <c r="K70" s="804"/>
      <c r="L70" s="804"/>
      <c r="M70" s="804"/>
      <c r="N70" s="804"/>
      <c r="O70" s="89"/>
      <c r="P70" s="89"/>
      <c r="Q70" s="803">
        <v>5</v>
      </c>
      <c r="R70" s="803"/>
      <c r="S70" s="804" t="str">
        <f>VLOOKUP(Q70,U12組合せ!$B$10:$K$19,9,TRUE)</f>
        <v>ウエストフットコムU11</v>
      </c>
      <c r="T70" s="804"/>
      <c r="U70" s="804"/>
      <c r="V70" s="804"/>
      <c r="W70" s="804"/>
      <c r="X70" s="804"/>
      <c r="Y70" s="804"/>
      <c r="Z70" s="804"/>
      <c r="AA70" s="804"/>
      <c r="AB70" s="804"/>
      <c r="AC70" s="91"/>
      <c r="AD70" s="90"/>
      <c r="AE70" s="807">
        <v>8</v>
      </c>
      <c r="AF70" s="807"/>
      <c r="AG70" s="802" t="str">
        <f>VLOOKUP(AE70,U12組合せ!$B$10:$K$19,9,TRUE)</f>
        <v>陽東SSS</v>
      </c>
      <c r="AH70" s="802"/>
      <c r="AI70" s="802"/>
      <c r="AJ70" s="802"/>
      <c r="AK70" s="802"/>
      <c r="AL70" s="802"/>
      <c r="AM70" s="802"/>
      <c r="AN70" s="802"/>
      <c r="AO70" s="802"/>
      <c r="AP70" s="802"/>
    </row>
    <row r="71" spans="2:46" ht="29.25" customHeight="1" x14ac:dyDescent="0.4">
      <c r="C71" s="803">
        <v>3</v>
      </c>
      <c r="D71" s="803"/>
      <c r="E71" s="804" t="str">
        <f>VLOOKUP(C71,U12組合せ!B$10:$K$19,9,TRUE)</f>
        <v>宇大付属小SSS U11</v>
      </c>
      <c r="F71" s="804"/>
      <c r="G71" s="804"/>
      <c r="H71" s="804"/>
      <c r="I71" s="804"/>
      <c r="J71" s="804"/>
      <c r="K71" s="804"/>
      <c r="L71" s="804"/>
      <c r="M71" s="804"/>
      <c r="N71" s="804"/>
      <c r="O71" s="89"/>
      <c r="P71" s="89"/>
      <c r="Q71" s="803">
        <v>6</v>
      </c>
      <c r="R71" s="803"/>
      <c r="S71" s="804" t="str">
        <f>VLOOKUP(Q71,U12組合せ!$B$10:$K$19,9,TRUE)</f>
        <v>SUGAOプロミネンス</v>
      </c>
      <c r="T71" s="804"/>
      <c r="U71" s="804"/>
      <c r="V71" s="804"/>
      <c r="W71" s="804"/>
      <c r="X71" s="804"/>
      <c r="Y71" s="804"/>
      <c r="Z71" s="804"/>
      <c r="AA71" s="804"/>
      <c r="AB71" s="804"/>
      <c r="AC71" s="91"/>
      <c r="AD71" s="90"/>
      <c r="AE71" s="809">
        <v>9</v>
      </c>
      <c r="AF71" s="811"/>
      <c r="AG71" s="802" t="str">
        <f>VLOOKUP(AE71,U12組合せ!$B$10:$K$19,9,TRUE)</f>
        <v>ジュベニール</v>
      </c>
      <c r="AH71" s="802"/>
      <c r="AI71" s="802"/>
      <c r="AJ71" s="802"/>
      <c r="AK71" s="802"/>
      <c r="AL71" s="802"/>
      <c r="AM71" s="802"/>
      <c r="AN71" s="802"/>
      <c r="AO71" s="802"/>
      <c r="AP71" s="802"/>
    </row>
    <row r="72" spans="2:46" ht="9.75" customHeight="1" x14ac:dyDescent="0.4">
      <c r="B72" s="2"/>
      <c r="O72" s="2"/>
      <c r="P72" s="2"/>
      <c r="AC72" s="85"/>
      <c r="AD72" s="2"/>
      <c r="AE72" s="2"/>
      <c r="AF72" s="2"/>
      <c r="AG72" s="2"/>
    </row>
    <row r="73" spans="2:46" ht="6" customHeight="1" x14ac:dyDescent="0.4">
      <c r="C73" s="127"/>
      <c r="D73" s="128"/>
      <c r="E73" s="128"/>
      <c r="F73" s="128"/>
      <c r="G73" s="128"/>
      <c r="H73" s="12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128"/>
      <c r="U73" s="2"/>
      <c r="V73" s="128"/>
      <c r="W73" s="2"/>
      <c r="X73" s="128"/>
      <c r="Y73" s="2"/>
      <c r="Z73" s="128"/>
      <c r="AA73" s="2"/>
      <c r="AB73" s="128"/>
      <c r="AC73" s="128"/>
    </row>
    <row r="74" spans="2:46" ht="21" customHeight="1" x14ac:dyDescent="0.4">
      <c r="B74" s="118" t="str">
        <f ca="1">IF(B76="①","【監督会議 8：20～】","【監督会議 12：50～】")</f>
        <v>【監督会議 12：50～】</v>
      </c>
      <c r="C74" s="96"/>
      <c r="D74" s="96"/>
      <c r="E74" s="96"/>
      <c r="F74" s="96"/>
      <c r="G74" s="96"/>
      <c r="H74" s="96"/>
      <c r="I74" s="96" t="s">
        <v>330</v>
      </c>
      <c r="J74" s="96"/>
      <c r="K74" s="96"/>
      <c r="L74" s="96"/>
      <c r="M74" s="96"/>
      <c r="N74" s="96"/>
      <c r="O74" s="96"/>
      <c r="P74" s="96"/>
    </row>
    <row r="75" spans="2:46" ht="20.25" customHeight="1" x14ac:dyDescent="0.4">
      <c r="B75" s="10"/>
      <c r="C75" s="814" t="s">
        <v>3</v>
      </c>
      <c r="D75" s="814"/>
      <c r="E75" s="814"/>
      <c r="F75" s="816" t="s">
        <v>4</v>
      </c>
      <c r="G75" s="817"/>
      <c r="H75" s="817"/>
      <c r="I75" s="817"/>
      <c r="J75" s="814" t="s">
        <v>5</v>
      </c>
      <c r="K75" s="815"/>
      <c r="L75" s="815"/>
      <c r="M75" s="815"/>
      <c r="N75" s="815"/>
      <c r="O75" s="815"/>
      <c r="P75" s="815"/>
      <c r="Q75" s="814" t="s">
        <v>32</v>
      </c>
      <c r="R75" s="814"/>
      <c r="S75" s="814"/>
      <c r="T75" s="814"/>
      <c r="U75" s="814"/>
      <c r="V75" s="814"/>
      <c r="W75" s="814"/>
      <c r="X75" s="814" t="s">
        <v>5</v>
      </c>
      <c r="Y75" s="815"/>
      <c r="Z75" s="815"/>
      <c r="AA75" s="815"/>
      <c r="AB75" s="815"/>
      <c r="AC75" s="815"/>
      <c r="AD75" s="815"/>
      <c r="AE75" s="816" t="s">
        <v>4</v>
      </c>
      <c r="AF75" s="817"/>
      <c r="AG75" s="817"/>
      <c r="AH75" s="817"/>
      <c r="AI75" s="814" t="s">
        <v>6</v>
      </c>
      <c r="AJ75" s="814"/>
      <c r="AK75" s="815"/>
      <c r="AL75" s="815"/>
      <c r="AM75" s="815"/>
      <c r="AN75" s="815"/>
      <c r="AO75" s="815"/>
      <c r="AP75" s="815"/>
    </row>
    <row r="76" spans="2:46" ht="20.100000000000001" customHeight="1" x14ac:dyDescent="0.4">
      <c r="B76" s="818" t="str">
        <f ca="1">DBCS(INDIRECT("U12対戦スケジュール!ｓ"&amp;(ROW())/2-15))</f>
        <v>④</v>
      </c>
      <c r="C76" s="819">
        <f ca="1">INDIRECT("U12対戦スケジュール!ｔ"&amp;(ROW())/2-15)</f>
        <v>0.5625</v>
      </c>
      <c r="D76" s="820"/>
      <c r="E76" s="821"/>
      <c r="F76" s="825"/>
      <c r="G76" s="826"/>
      <c r="H76" s="826"/>
      <c r="I76" s="826"/>
      <c r="J76" s="827" t="str">
        <f>VLOOKUP(AR76,U12組合せ!B$10:K$19,9,TRUE)</f>
        <v>宝木キッカーズ</v>
      </c>
      <c r="K76" s="828"/>
      <c r="L76" s="828"/>
      <c r="M76" s="828"/>
      <c r="N76" s="828"/>
      <c r="O76" s="828"/>
      <c r="P76" s="828"/>
      <c r="Q76" s="829">
        <f>IF(OR(S76="",S77=""),"",S76+S77)</f>
        <v>0</v>
      </c>
      <c r="R76" s="829"/>
      <c r="S76" s="11">
        <v>0</v>
      </c>
      <c r="T76" s="12" t="s">
        <v>7</v>
      </c>
      <c r="U76" s="11">
        <v>2</v>
      </c>
      <c r="V76" s="829">
        <f>IF(OR(U76="",U77=""),"",U76+U77)</f>
        <v>4</v>
      </c>
      <c r="W76" s="829"/>
      <c r="X76" s="827" t="str">
        <f>VLOOKUP(AS76,U12組合せ!B$10:K$19,9,TRUE)</f>
        <v>陽東SSS</v>
      </c>
      <c r="Y76" s="828"/>
      <c r="Z76" s="828"/>
      <c r="AA76" s="828"/>
      <c r="AB76" s="828"/>
      <c r="AC76" s="828"/>
      <c r="AD76" s="828"/>
      <c r="AE76" s="825"/>
      <c r="AF76" s="826"/>
      <c r="AG76" s="826"/>
      <c r="AH76" s="826"/>
      <c r="AI76" s="829" t="str">
        <f ca="1">DBCS(INDIRECT("U12対戦スケジュール!ｘ"&amp;(ROW())/2-15))</f>
        <v>９／７／８／９</v>
      </c>
      <c r="AJ76" s="826"/>
      <c r="AK76" s="826"/>
      <c r="AL76" s="826"/>
      <c r="AM76" s="826"/>
      <c r="AN76" s="826"/>
      <c r="AO76" s="826"/>
      <c r="AP76" s="826"/>
      <c r="AR76" s="129">
        <v>7</v>
      </c>
      <c r="AS76" s="129">
        <v>8</v>
      </c>
      <c r="AT76" s="129"/>
    </row>
    <row r="77" spans="2:46" ht="20.100000000000001" customHeight="1" x14ac:dyDescent="0.4">
      <c r="B77" s="818"/>
      <c r="C77" s="822"/>
      <c r="D77" s="823"/>
      <c r="E77" s="824"/>
      <c r="F77" s="826"/>
      <c r="G77" s="826"/>
      <c r="H77" s="826"/>
      <c r="I77" s="826"/>
      <c r="J77" s="828"/>
      <c r="K77" s="828"/>
      <c r="L77" s="828"/>
      <c r="M77" s="828"/>
      <c r="N77" s="828"/>
      <c r="O77" s="828"/>
      <c r="P77" s="828"/>
      <c r="Q77" s="829"/>
      <c r="R77" s="829"/>
      <c r="S77" s="11">
        <v>0</v>
      </c>
      <c r="T77" s="12" t="s">
        <v>7</v>
      </c>
      <c r="U77" s="11">
        <v>2</v>
      </c>
      <c r="V77" s="829"/>
      <c r="W77" s="829"/>
      <c r="X77" s="828"/>
      <c r="Y77" s="828"/>
      <c r="Z77" s="828"/>
      <c r="AA77" s="828"/>
      <c r="AB77" s="828"/>
      <c r="AC77" s="828"/>
      <c r="AD77" s="828"/>
      <c r="AE77" s="826"/>
      <c r="AF77" s="826"/>
      <c r="AG77" s="826"/>
      <c r="AH77" s="826"/>
      <c r="AI77" s="826"/>
      <c r="AJ77" s="826"/>
      <c r="AK77" s="826"/>
      <c r="AL77" s="826"/>
      <c r="AM77" s="826"/>
      <c r="AN77" s="826"/>
      <c r="AO77" s="826"/>
      <c r="AP77" s="826"/>
      <c r="AR77" s="129"/>
      <c r="AS77" s="129"/>
    </row>
    <row r="78" spans="2:46" ht="20.100000000000001" customHeight="1" x14ac:dyDescent="0.4">
      <c r="B78" s="818" t="str">
        <f ca="1">DBCS(INDIRECT("U12対戦スケジュール!ｓ"&amp;(ROW())/2-15))</f>
        <v>⑤</v>
      </c>
      <c r="C78" s="819">
        <f ca="1">INDIRECT("U12対戦スケジュール!ｔ"&amp;(ROW())/2-15)</f>
        <v>0.60450000000000004</v>
      </c>
      <c r="D78" s="820"/>
      <c r="E78" s="821"/>
      <c r="F78" s="825"/>
      <c r="G78" s="826"/>
      <c r="H78" s="826"/>
      <c r="I78" s="826"/>
      <c r="J78" s="827" t="str">
        <f>VLOOKUP(AR78,U12組合せ!B$10:K$19,9,TRUE)</f>
        <v>ジュベニール</v>
      </c>
      <c r="K78" s="828"/>
      <c r="L78" s="828"/>
      <c r="M78" s="828"/>
      <c r="N78" s="828"/>
      <c r="O78" s="828"/>
      <c r="P78" s="828"/>
      <c r="Q78" s="856">
        <f>IF(OR(S78="",S79=""),"",S78+S79)</f>
        <v>0</v>
      </c>
      <c r="R78" s="857"/>
      <c r="S78" s="11">
        <v>0</v>
      </c>
      <c r="T78" s="12" t="s">
        <v>7</v>
      </c>
      <c r="U78" s="11">
        <v>0</v>
      </c>
      <c r="V78" s="856">
        <f>IF(OR(U78="",U79=""),"",U78+U79)</f>
        <v>0</v>
      </c>
      <c r="W78" s="857"/>
      <c r="X78" s="827" t="str">
        <f>VLOOKUP(AS78,U12組合せ!B$10:K$19,9,TRUE)</f>
        <v>陽東SSS</v>
      </c>
      <c r="Y78" s="828"/>
      <c r="Z78" s="828"/>
      <c r="AA78" s="828"/>
      <c r="AB78" s="828"/>
      <c r="AC78" s="828"/>
      <c r="AD78" s="828"/>
      <c r="AE78" s="825"/>
      <c r="AF78" s="826"/>
      <c r="AG78" s="826"/>
      <c r="AH78" s="826"/>
      <c r="AI78" s="829" t="str">
        <f ca="1">DBCS(INDIRECT("U12対戦スケジュール!ｘ"&amp;(ROW())/2-15))</f>
        <v>７／８／９／７</v>
      </c>
      <c r="AJ78" s="826"/>
      <c r="AK78" s="826"/>
      <c r="AL78" s="826"/>
      <c r="AM78" s="826"/>
      <c r="AN78" s="826"/>
      <c r="AO78" s="826"/>
      <c r="AP78" s="826"/>
      <c r="AR78" s="129">
        <v>9</v>
      </c>
      <c r="AS78" s="129">
        <v>8</v>
      </c>
    </row>
    <row r="79" spans="2:46" ht="20.100000000000001" customHeight="1" x14ac:dyDescent="0.4">
      <c r="B79" s="818"/>
      <c r="C79" s="822"/>
      <c r="D79" s="823"/>
      <c r="E79" s="824"/>
      <c r="F79" s="826"/>
      <c r="G79" s="826"/>
      <c r="H79" s="826"/>
      <c r="I79" s="826"/>
      <c r="J79" s="828"/>
      <c r="K79" s="828"/>
      <c r="L79" s="828"/>
      <c r="M79" s="828"/>
      <c r="N79" s="828"/>
      <c r="O79" s="828"/>
      <c r="P79" s="828"/>
      <c r="Q79" s="858"/>
      <c r="R79" s="859"/>
      <c r="S79" s="11">
        <v>0</v>
      </c>
      <c r="T79" s="12" t="s">
        <v>7</v>
      </c>
      <c r="U79" s="11">
        <v>0</v>
      </c>
      <c r="V79" s="858"/>
      <c r="W79" s="859"/>
      <c r="X79" s="828"/>
      <c r="Y79" s="828"/>
      <c r="Z79" s="828"/>
      <c r="AA79" s="828"/>
      <c r="AB79" s="828"/>
      <c r="AC79" s="828"/>
      <c r="AD79" s="828"/>
      <c r="AE79" s="826"/>
      <c r="AF79" s="826"/>
      <c r="AG79" s="826"/>
      <c r="AH79" s="826"/>
      <c r="AI79" s="826"/>
      <c r="AJ79" s="826"/>
      <c r="AK79" s="826"/>
      <c r="AL79" s="826"/>
      <c r="AM79" s="826"/>
      <c r="AN79" s="826"/>
      <c r="AO79" s="826"/>
      <c r="AP79" s="826"/>
      <c r="AR79" s="129"/>
      <c r="AS79" s="129"/>
    </row>
    <row r="80" spans="2:46" ht="20.100000000000001" customHeight="1" x14ac:dyDescent="0.4">
      <c r="B80" s="818" t="str">
        <f ca="1">DBCS(INDIRECT("U12対戦スケジュール!ｓ"&amp;(ROW())/2-15))</f>
        <v>⑥</v>
      </c>
      <c r="C80" s="819">
        <f ca="1">INDIRECT("U12対戦スケジュール!ｔ"&amp;(ROW())/2-15)</f>
        <v>0.64650000000000007</v>
      </c>
      <c r="D80" s="820"/>
      <c r="E80" s="821"/>
      <c r="F80" s="825"/>
      <c r="G80" s="826"/>
      <c r="H80" s="826"/>
      <c r="I80" s="826"/>
      <c r="J80" s="827" t="str">
        <f>VLOOKUP(AR80,U12組合せ!B$10:K$19,9,TRUE)</f>
        <v>ジュベニール</v>
      </c>
      <c r="K80" s="828"/>
      <c r="L80" s="828"/>
      <c r="M80" s="828"/>
      <c r="N80" s="828"/>
      <c r="O80" s="828"/>
      <c r="P80" s="828"/>
      <c r="Q80" s="856">
        <f>IF(OR(S80="",S81=""),"",S80+S81)</f>
        <v>2</v>
      </c>
      <c r="R80" s="857"/>
      <c r="S80" s="11">
        <v>1</v>
      </c>
      <c r="T80" s="12" t="s">
        <v>7</v>
      </c>
      <c r="U80" s="11">
        <v>1</v>
      </c>
      <c r="V80" s="856">
        <f>IF(OR(U80="",U81=""),"",U80+U81)</f>
        <v>3</v>
      </c>
      <c r="W80" s="857"/>
      <c r="X80" s="827" t="str">
        <f>VLOOKUP(AS80,U12組合せ!B$10:K$19,9,TRUE)</f>
        <v>宝木キッカーズ</v>
      </c>
      <c r="Y80" s="828"/>
      <c r="Z80" s="828"/>
      <c r="AA80" s="828"/>
      <c r="AB80" s="828"/>
      <c r="AC80" s="828"/>
      <c r="AD80" s="828"/>
      <c r="AE80" s="825"/>
      <c r="AF80" s="826"/>
      <c r="AG80" s="826"/>
      <c r="AH80" s="826"/>
      <c r="AI80" s="829" t="str">
        <f ca="1">DBCS(INDIRECT("U12対戦スケジュール!ｘ"&amp;(ROW())/2-15))</f>
        <v>８／９／７／８</v>
      </c>
      <c r="AJ80" s="826"/>
      <c r="AK80" s="826"/>
      <c r="AL80" s="826"/>
      <c r="AM80" s="826"/>
      <c r="AN80" s="826"/>
      <c r="AO80" s="826"/>
      <c r="AP80" s="826"/>
      <c r="AR80" s="129">
        <v>9</v>
      </c>
      <c r="AS80" s="129">
        <v>7</v>
      </c>
    </row>
    <row r="81" spans="1:48" ht="20.100000000000001" customHeight="1" x14ac:dyDescent="0.4">
      <c r="B81" s="818"/>
      <c r="C81" s="822"/>
      <c r="D81" s="823"/>
      <c r="E81" s="824"/>
      <c r="F81" s="826"/>
      <c r="G81" s="826"/>
      <c r="H81" s="826"/>
      <c r="I81" s="826"/>
      <c r="J81" s="828"/>
      <c r="K81" s="828"/>
      <c r="L81" s="828"/>
      <c r="M81" s="828"/>
      <c r="N81" s="828"/>
      <c r="O81" s="828"/>
      <c r="P81" s="828"/>
      <c r="Q81" s="858"/>
      <c r="R81" s="859"/>
      <c r="S81" s="11">
        <v>1</v>
      </c>
      <c r="T81" s="12" t="s">
        <v>7</v>
      </c>
      <c r="U81" s="11">
        <v>2</v>
      </c>
      <c r="V81" s="858"/>
      <c r="W81" s="859"/>
      <c r="X81" s="828"/>
      <c r="Y81" s="828"/>
      <c r="Z81" s="828"/>
      <c r="AA81" s="828"/>
      <c r="AB81" s="828"/>
      <c r="AC81" s="828"/>
      <c r="AD81" s="828"/>
      <c r="AE81" s="826"/>
      <c r="AF81" s="826"/>
      <c r="AG81" s="826"/>
      <c r="AH81" s="826"/>
      <c r="AI81" s="826"/>
      <c r="AJ81" s="826"/>
      <c r="AK81" s="826"/>
      <c r="AL81" s="826"/>
      <c r="AM81" s="826"/>
      <c r="AN81" s="826"/>
      <c r="AO81" s="826"/>
      <c r="AP81" s="826"/>
      <c r="AR81" s="129"/>
      <c r="AS81" s="129"/>
    </row>
    <row r="82" spans="1:48" ht="20.100000000000001" customHeight="1" x14ac:dyDescent="0.4">
      <c r="B82" s="864"/>
      <c r="C82" s="914"/>
      <c r="D82" s="915"/>
      <c r="E82" s="916"/>
      <c r="F82" s="889"/>
      <c r="G82" s="890"/>
      <c r="H82" s="890"/>
      <c r="I82" s="890"/>
      <c r="J82" s="891"/>
      <c r="K82" s="892"/>
      <c r="L82" s="892"/>
      <c r="M82" s="892"/>
      <c r="N82" s="892"/>
      <c r="O82" s="892"/>
      <c r="P82" s="892"/>
      <c r="Q82" s="893"/>
      <c r="R82" s="893"/>
      <c r="S82" s="80"/>
      <c r="T82" s="81"/>
      <c r="U82" s="80"/>
      <c r="V82" s="893"/>
      <c r="W82" s="893"/>
      <c r="X82" s="891"/>
      <c r="Y82" s="892"/>
      <c r="Z82" s="892"/>
      <c r="AA82" s="892"/>
      <c r="AB82" s="892"/>
      <c r="AC82" s="892"/>
      <c r="AD82" s="892"/>
      <c r="AE82" s="889"/>
      <c r="AF82" s="890"/>
      <c r="AG82" s="890"/>
      <c r="AH82" s="890"/>
      <c r="AI82" s="911"/>
      <c r="AJ82" s="912"/>
      <c r="AK82" s="912"/>
      <c r="AL82" s="912"/>
      <c r="AM82" s="912"/>
      <c r="AN82" s="912"/>
      <c r="AO82" s="912"/>
      <c r="AP82" s="912"/>
      <c r="AR82" s="129"/>
      <c r="AS82" s="129"/>
    </row>
    <row r="83" spans="1:48" ht="20.100000000000001" customHeight="1" x14ac:dyDescent="0.4">
      <c r="B83" s="818"/>
      <c r="C83" s="822"/>
      <c r="D83" s="823"/>
      <c r="E83" s="824"/>
      <c r="F83" s="826"/>
      <c r="G83" s="826"/>
      <c r="H83" s="826"/>
      <c r="I83" s="826"/>
      <c r="J83" s="831"/>
      <c r="K83" s="831"/>
      <c r="L83" s="831"/>
      <c r="M83" s="831"/>
      <c r="N83" s="831"/>
      <c r="O83" s="831"/>
      <c r="P83" s="831"/>
      <c r="Q83" s="829"/>
      <c r="R83" s="829"/>
      <c r="S83" s="11"/>
      <c r="T83" s="12"/>
      <c r="U83" s="11"/>
      <c r="V83" s="829"/>
      <c r="W83" s="829"/>
      <c r="X83" s="831"/>
      <c r="Y83" s="831"/>
      <c r="Z83" s="831"/>
      <c r="AA83" s="831"/>
      <c r="AB83" s="831"/>
      <c r="AC83" s="831"/>
      <c r="AD83" s="831"/>
      <c r="AE83" s="826"/>
      <c r="AF83" s="826"/>
      <c r="AG83" s="826"/>
      <c r="AH83" s="826"/>
      <c r="AI83" s="913"/>
      <c r="AJ83" s="913"/>
      <c r="AK83" s="913"/>
      <c r="AL83" s="913"/>
      <c r="AM83" s="913"/>
      <c r="AN83" s="913"/>
      <c r="AO83" s="913"/>
      <c r="AP83" s="913"/>
      <c r="AR83" s="129"/>
      <c r="AS83" s="129"/>
    </row>
    <row r="84" spans="1:48" ht="20.100000000000001" customHeight="1" x14ac:dyDescent="0.4">
      <c r="B84" s="863"/>
      <c r="C84" s="942"/>
      <c r="D84" s="943"/>
      <c r="E84" s="944"/>
      <c r="F84" s="847"/>
      <c r="G84" s="848"/>
      <c r="H84" s="848"/>
      <c r="I84" s="849"/>
      <c r="J84" s="883"/>
      <c r="K84" s="884"/>
      <c r="L84" s="884"/>
      <c r="M84" s="884"/>
      <c r="N84" s="884"/>
      <c r="O84" s="884"/>
      <c r="P84" s="885"/>
      <c r="Q84" s="856"/>
      <c r="R84" s="857"/>
      <c r="S84" s="11"/>
      <c r="T84" s="12"/>
      <c r="U84" s="11"/>
      <c r="V84" s="856"/>
      <c r="W84" s="857"/>
      <c r="X84" s="948"/>
      <c r="Y84" s="949"/>
      <c r="Z84" s="949"/>
      <c r="AA84" s="949"/>
      <c r="AB84" s="949"/>
      <c r="AC84" s="949"/>
      <c r="AD84" s="950"/>
      <c r="AE84" s="847"/>
      <c r="AF84" s="848"/>
      <c r="AG84" s="848"/>
      <c r="AH84" s="849"/>
      <c r="AI84" s="856"/>
      <c r="AJ84" s="897"/>
      <c r="AK84" s="897"/>
      <c r="AL84" s="897"/>
      <c r="AM84" s="897"/>
      <c r="AN84" s="897"/>
      <c r="AO84" s="897"/>
      <c r="AP84" s="857"/>
    </row>
    <row r="85" spans="1:48" ht="20.100000000000001" customHeight="1" x14ac:dyDescent="0.4">
      <c r="B85" s="864"/>
      <c r="C85" s="945"/>
      <c r="D85" s="946"/>
      <c r="E85" s="947"/>
      <c r="F85" s="850"/>
      <c r="G85" s="851"/>
      <c r="H85" s="851"/>
      <c r="I85" s="852"/>
      <c r="J85" s="886"/>
      <c r="K85" s="887"/>
      <c r="L85" s="887"/>
      <c r="M85" s="887"/>
      <c r="N85" s="887"/>
      <c r="O85" s="887"/>
      <c r="P85" s="888"/>
      <c r="Q85" s="858"/>
      <c r="R85" s="859"/>
      <c r="S85" s="11"/>
      <c r="T85" s="12"/>
      <c r="U85" s="11"/>
      <c r="V85" s="858"/>
      <c r="W85" s="859"/>
      <c r="X85" s="951"/>
      <c r="Y85" s="952"/>
      <c r="Z85" s="952"/>
      <c r="AA85" s="952"/>
      <c r="AB85" s="952"/>
      <c r="AC85" s="952"/>
      <c r="AD85" s="953"/>
      <c r="AE85" s="850"/>
      <c r="AF85" s="851"/>
      <c r="AG85" s="851"/>
      <c r="AH85" s="852"/>
      <c r="AI85" s="858"/>
      <c r="AJ85" s="898"/>
      <c r="AK85" s="898"/>
      <c r="AL85" s="898"/>
      <c r="AM85" s="898"/>
      <c r="AN85" s="898"/>
      <c r="AO85" s="898"/>
      <c r="AP85" s="859"/>
    </row>
    <row r="86" spans="1:48" ht="20.100000000000001" customHeight="1" x14ac:dyDescent="0.4">
      <c r="B86" s="863"/>
      <c r="C86" s="942"/>
      <c r="D86" s="943"/>
      <c r="E86" s="944"/>
      <c r="F86" s="847"/>
      <c r="G86" s="848"/>
      <c r="H86" s="848"/>
      <c r="I86" s="849"/>
      <c r="J86" s="883"/>
      <c r="K86" s="884"/>
      <c r="L86" s="884"/>
      <c r="M86" s="884"/>
      <c r="N86" s="884"/>
      <c r="O86" s="884"/>
      <c r="P86" s="885"/>
      <c r="Q86" s="856"/>
      <c r="R86" s="857"/>
      <c r="S86" s="11"/>
      <c r="T86" s="12"/>
      <c r="U86" s="11"/>
      <c r="V86" s="856"/>
      <c r="W86" s="857"/>
      <c r="X86" s="948"/>
      <c r="Y86" s="949"/>
      <c r="Z86" s="949"/>
      <c r="AA86" s="949"/>
      <c r="AB86" s="949"/>
      <c r="AC86" s="949"/>
      <c r="AD86" s="950"/>
      <c r="AE86" s="847"/>
      <c r="AF86" s="848"/>
      <c r="AG86" s="848"/>
      <c r="AH86" s="849"/>
      <c r="AI86" s="856"/>
      <c r="AJ86" s="897"/>
      <c r="AK86" s="897"/>
      <c r="AL86" s="897"/>
      <c r="AM86" s="897"/>
      <c r="AN86" s="897"/>
      <c r="AO86" s="897"/>
      <c r="AP86" s="857"/>
    </row>
    <row r="87" spans="1:48" ht="20.100000000000001" customHeight="1" x14ac:dyDescent="0.4">
      <c r="B87" s="864"/>
      <c r="C87" s="945"/>
      <c r="D87" s="946"/>
      <c r="E87" s="947"/>
      <c r="F87" s="850"/>
      <c r="G87" s="851"/>
      <c r="H87" s="851"/>
      <c r="I87" s="852"/>
      <c r="J87" s="886"/>
      <c r="K87" s="887"/>
      <c r="L87" s="887"/>
      <c r="M87" s="887"/>
      <c r="N87" s="887"/>
      <c r="O87" s="887"/>
      <c r="P87" s="888"/>
      <c r="Q87" s="858"/>
      <c r="R87" s="859"/>
      <c r="S87" s="11"/>
      <c r="T87" s="12"/>
      <c r="U87" s="11"/>
      <c r="V87" s="858"/>
      <c r="W87" s="859"/>
      <c r="X87" s="951"/>
      <c r="Y87" s="952"/>
      <c r="Z87" s="952"/>
      <c r="AA87" s="952"/>
      <c r="AB87" s="952"/>
      <c r="AC87" s="952"/>
      <c r="AD87" s="953"/>
      <c r="AE87" s="850"/>
      <c r="AF87" s="851"/>
      <c r="AG87" s="851"/>
      <c r="AH87" s="852"/>
      <c r="AI87" s="858"/>
      <c r="AJ87" s="898"/>
      <c r="AK87" s="898"/>
      <c r="AL87" s="898"/>
      <c r="AM87" s="898"/>
      <c r="AN87" s="898"/>
      <c r="AO87" s="898"/>
      <c r="AP87" s="859"/>
    </row>
    <row r="88" spans="1:48" ht="20.100000000000001" customHeight="1" x14ac:dyDescent="0.4">
      <c r="B88" s="863"/>
      <c r="C88" s="942"/>
      <c r="D88" s="943"/>
      <c r="E88" s="944"/>
      <c r="F88" s="847"/>
      <c r="G88" s="848"/>
      <c r="H88" s="848"/>
      <c r="I88" s="849"/>
      <c r="J88" s="883"/>
      <c r="K88" s="884"/>
      <c r="L88" s="884"/>
      <c r="M88" s="884"/>
      <c r="N88" s="884"/>
      <c r="O88" s="884"/>
      <c r="P88" s="885"/>
      <c r="Q88" s="856"/>
      <c r="R88" s="857"/>
      <c r="S88" s="11"/>
      <c r="T88" s="12"/>
      <c r="U88" s="11"/>
      <c r="V88" s="856"/>
      <c r="W88" s="857"/>
      <c r="X88" s="948"/>
      <c r="Y88" s="949"/>
      <c r="Z88" s="949"/>
      <c r="AA88" s="949"/>
      <c r="AB88" s="949"/>
      <c r="AC88" s="949"/>
      <c r="AD88" s="950"/>
      <c r="AE88" s="847"/>
      <c r="AF88" s="848"/>
      <c r="AG88" s="848"/>
      <c r="AH88" s="849"/>
      <c r="AI88" s="856"/>
      <c r="AJ88" s="897"/>
      <c r="AK88" s="897"/>
      <c r="AL88" s="897"/>
      <c r="AM88" s="897"/>
      <c r="AN88" s="897"/>
      <c r="AO88" s="897"/>
      <c r="AP88" s="857"/>
    </row>
    <row r="89" spans="1:48" ht="20.100000000000001" customHeight="1" x14ac:dyDescent="0.4">
      <c r="B89" s="864"/>
      <c r="C89" s="945"/>
      <c r="D89" s="946"/>
      <c r="E89" s="947"/>
      <c r="F89" s="850"/>
      <c r="G89" s="851"/>
      <c r="H89" s="851"/>
      <c r="I89" s="852"/>
      <c r="J89" s="886"/>
      <c r="K89" s="887"/>
      <c r="L89" s="887"/>
      <c r="M89" s="887"/>
      <c r="N89" s="887"/>
      <c r="O89" s="887"/>
      <c r="P89" s="888"/>
      <c r="Q89" s="858"/>
      <c r="R89" s="859"/>
      <c r="S89" s="11"/>
      <c r="T89" s="12"/>
      <c r="U89" s="11"/>
      <c r="V89" s="858"/>
      <c r="W89" s="859"/>
      <c r="X89" s="951"/>
      <c r="Y89" s="952"/>
      <c r="Z89" s="952"/>
      <c r="AA89" s="952"/>
      <c r="AB89" s="952"/>
      <c r="AC89" s="952"/>
      <c r="AD89" s="953"/>
      <c r="AE89" s="850"/>
      <c r="AF89" s="851"/>
      <c r="AG89" s="851"/>
      <c r="AH89" s="852"/>
      <c r="AI89" s="858"/>
      <c r="AJ89" s="898"/>
      <c r="AK89" s="898"/>
      <c r="AL89" s="898"/>
      <c r="AM89" s="898"/>
      <c r="AN89" s="898"/>
      <c r="AO89" s="898"/>
      <c r="AP89" s="859"/>
    </row>
    <row r="90" spans="1:48" ht="15.75" customHeight="1" thickBot="1" x14ac:dyDescent="0.45">
      <c r="A90" s="2"/>
      <c r="B90" s="3"/>
      <c r="C90" s="84"/>
      <c r="D90" s="84"/>
      <c r="E90" s="84"/>
      <c r="F90" s="3"/>
      <c r="G90" s="3"/>
      <c r="H90" s="3"/>
      <c r="I90" s="3"/>
      <c r="J90" s="3"/>
      <c r="K90" s="83"/>
      <c r="L90" s="83"/>
      <c r="M90" s="4"/>
      <c r="N90" s="5"/>
      <c r="O90" s="4"/>
      <c r="P90" s="83"/>
      <c r="Q90" s="83"/>
      <c r="R90" s="3"/>
      <c r="S90" s="3"/>
      <c r="T90" s="3"/>
      <c r="U90" s="3"/>
      <c r="V90" s="3"/>
      <c r="W90" s="6"/>
      <c r="X90" s="6"/>
      <c r="Y90" s="6"/>
      <c r="Z90" s="6"/>
      <c r="AA90" s="6"/>
      <c r="AB90" s="6"/>
      <c r="AC90" s="2"/>
    </row>
    <row r="91" spans="1:48" ht="20.25" customHeight="1" thickBot="1" x14ac:dyDescent="0.45">
      <c r="D91" s="955" t="s">
        <v>8</v>
      </c>
      <c r="E91" s="956"/>
      <c r="F91" s="956"/>
      <c r="G91" s="956"/>
      <c r="H91" s="956"/>
      <c r="I91" s="957"/>
      <c r="J91" s="958" t="s">
        <v>5</v>
      </c>
      <c r="K91" s="956"/>
      <c r="L91" s="956"/>
      <c r="M91" s="956"/>
      <c r="N91" s="956"/>
      <c r="O91" s="956"/>
      <c r="P91" s="956"/>
      <c r="Q91" s="957"/>
      <c r="R91" s="959" t="s">
        <v>9</v>
      </c>
      <c r="S91" s="960"/>
      <c r="T91" s="960"/>
      <c r="U91" s="960"/>
      <c r="V91" s="960"/>
      <c r="W91" s="960"/>
      <c r="X91" s="960"/>
      <c r="Y91" s="960"/>
      <c r="Z91" s="961"/>
      <c r="AA91" s="962" t="s">
        <v>10</v>
      </c>
      <c r="AB91" s="963"/>
      <c r="AC91" s="964"/>
      <c r="AD91" s="962" t="s">
        <v>11</v>
      </c>
      <c r="AE91" s="963"/>
      <c r="AF91" s="963"/>
      <c r="AG91" s="963"/>
      <c r="AH91" s="963"/>
      <c r="AI91" s="963"/>
      <c r="AJ91" s="963"/>
      <c r="AK91" s="963"/>
      <c r="AL91" s="963"/>
      <c r="AM91" s="966"/>
    </row>
    <row r="92" spans="1:48" ht="30" customHeight="1" x14ac:dyDescent="0.4">
      <c r="D92" s="929" t="s">
        <v>13</v>
      </c>
      <c r="E92" s="930"/>
      <c r="F92" s="930"/>
      <c r="G92" s="930"/>
      <c r="H92" s="930"/>
      <c r="I92" s="931"/>
      <c r="J92" s="932"/>
      <c r="K92" s="930"/>
      <c r="L92" s="930"/>
      <c r="M92" s="930"/>
      <c r="N92" s="930"/>
      <c r="O92" s="930"/>
      <c r="P92" s="930"/>
      <c r="Q92" s="931"/>
      <c r="R92" s="933"/>
      <c r="S92" s="934"/>
      <c r="T92" s="934"/>
      <c r="U92" s="934"/>
      <c r="V92" s="934"/>
      <c r="W92" s="934"/>
      <c r="X92" s="934"/>
      <c r="Y92" s="934"/>
      <c r="Z92" s="935"/>
      <c r="AA92" s="936"/>
      <c r="AB92" s="937"/>
      <c r="AC92" s="938"/>
      <c r="AD92" s="939"/>
      <c r="AE92" s="940"/>
      <c r="AF92" s="940"/>
      <c r="AG92" s="940"/>
      <c r="AH92" s="940"/>
      <c r="AI92" s="940"/>
      <c r="AJ92" s="940"/>
      <c r="AK92" s="940"/>
      <c r="AL92" s="940"/>
      <c r="AM92" s="941"/>
    </row>
    <row r="93" spans="1:48" ht="30" customHeight="1" x14ac:dyDescent="0.4">
      <c r="D93" s="954" t="s">
        <v>12</v>
      </c>
      <c r="E93" s="900"/>
      <c r="F93" s="900"/>
      <c r="G93" s="900"/>
      <c r="H93" s="900"/>
      <c r="I93" s="901"/>
      <c r="J93" s="899"/>
      <c r="K93" s="900"/>
      <c r="L93" s="900"/>
      <c r="M93" s="900"/>
      <c r="N93" s="900"/>
      <c r="O93" s="900"/>
      <c r="P93" s="900"/>
      <c r="Q93" s="901"/>
      <c r="R93" s="902"/>
      <c r="S93" s="903"/>
      <c r="T93" s="903"/>
      <c r="U93" s="903"/>
      <c r="V93" s="903"/>
      <c r="W93" s="903"/>
      <c r="X93" s="903"/>
      <c r="Y93" s="903"/>
      <c r="Z93" s="904"/>
      <c r="AA93" s="902"/>
      <c r="AB93" s="903"/>
      <c r="AC93" s="904"/>
      <c r="AD93" s="908"/>
      <c r="AE93" s="909"/>
      <c r="AF93" s="909"/>
      <c r="AG93" s="909"/>
      <c r="AH93" s="909"/>
      <c r="AI93" s="909"/>
      <c r="AJ93" s="909"/>
      <c r="AK93" s="909"/>
      <c r="AL93" s="909"/>
      <c r="AM93" s="965"/>
    </row>
    <row r="94" spans="1:48" ht="30" customHeight="1" thickBot="1" x14ac:dyDescent="0.45">
      <c r="D94" s="967" t="s">
        <v>12</v>
      </c>
      <c r="E94" s="918"/>
      <c r="F94" s="918"/>
      <c r="G94" s="918"/>
      <c r="H94" s="918"/>
      <c r="I94" s="919"/>
      <c r="J94" s="917"/>
      <c r="K94" s="918"/>
      <c r="L94" s="918"/>
      <c r="M94" s="918"/>
      <c r="N94" s="918"/>
      <c r="O94" s="918"/>
      <c r="P94" s="918"/>
      <c r="Q94" s="919"/>
      <c r="R94" s="920"/>
      <c r="S94" s="921"/>
      <c r="T94" s="921"/>
      <c r="U94" s="921"/>
      <c r="V94" s="921"/>
      <c r="W94" s="921"/>
      <c r="X94" s="921"/>
      <c r="Y94" s="921"/>
      <c r="Z94" s="922"/>
      <c r="AA94" s="923"/>
      <c r="AB94" s="924"/>
      <c r="AC94" s="925"/>
      <c r="AD94" s="926"/>
      <c r="AE94" s="927"/>
      <c r="AF94" s="927"/>
      <c r="AG94" s="927"/>
      <c r="AH94" s="927"/>
      <c r="AI94" s="927"/>
      <c r="AJ94" s="927"/>
      <c r="AK94" s="927"/>
      <c r="AL94" s="927"/>
      <c r="AM94" s="928"/>
    </row>
    <row r="96" spans="1:48" s="96" customFormat="1" ht="27.75" customHeight="1" x14ac:dyDescent="0.4">
      <c r="A96" s="115"/>
      <c r="B96" s="599" t="str">
        <f>U12組合せ!$B$1</f>
        <v>ＪＦＡ　Ｕ-１２サッカーリーグ2021（in栃木） 宇都宮地区リーグ戦（前期）</v>
      </c>
      <c r="C96" s="599"/>
      <c r="D96" s="599"/>
      <c r="E96" s="599"/>
      <c r="F96" s="599"/>
      <c r="G96" s="599"/>
      <c r="H96" s="599"/>
      <c r="I96" s="599"/>
      <c r="J96" s="599"/>
      <c r="K96" s="599"/>
      <c r="L96" s="599"/>
      <c r="M96" s="599"/>
      <c r="N96" s="599"/>
      <c r="O96" s="599"/>
      <c r="P96" s="599"/>
      <c r="Q96" s="599"/>
      <c r="R96" s="599"/>
      <c r="S96" s="599"/>
      <c r="T96" s="599"/>
      <c r="U96" s="599"/>
      <c r="V96" s="599"/>
      <c r="W96" s="599"/>
      <c r="X96" s="599"/>
      <c r="Y96" s="599"/>
      <c r="Z96" s="599"/>
      <c r="AA96" s="599"/>
      <c r="AB96" s="599"/>
      <c r="AC96" s="612" t="str">
        <f>"【"&amp;(U12組合せ!$J$3)&amp;"】"</f>
        <v>【Ｄ ブロック】</v>
      </c>
      <c r="AD96" s="612"/>
      <c r="AE96" s="612"/>
      <c r="AF96" s="612"/>
      <c r="AG96" s="612"/>
      <c r="AH96" s="612"/>
      <c r="AI96" s="612"/>
      <c r="AJ96" s="612"/>
      <c r="AK96" s="602" t="str">
        <f>"第"&amp;(U12組合せ!$D$27)</f>
        <v>第２節</v>
      </c>
      <c r="AL96" s="602"/>
      <c r="AM96" s="602"/>
      <c r="AN96" s="602"/>
      <c r="AO96" s="602"/>
      <c r="AP96" s="597" t="s">
        <v>331</v>
      </c>
      <c r="AQ96" s="598"/>
      <c r="AU96" s="102"/>
      <c r="AV96" s="102"/>
    </row>
    <row r="97" spans="1:48" s="96" customFormat="1" ht="15" customHeight="1" x14ac:dyDescent="0.4">
      <c r="A97" s="115"/>
      <c r="B97" s="599"/>
      <c r="C97" s="599"/>
      <c r="D97" s="599"/>
      <c r="E97" s="599"/>
      <c r="F97" s="599"/>
      <c r="G97" s="599"/>
      <c r="H97" s="599"/>
      <c r="I97" s="599"/>
      <c r="J97" s="599"/>
      <c r="K97" s="599"/>
      <c r="L97" s="599"/>
      <c r="M97" s="599"/>
      <c r="N97" s="599"/>
      <c r="O97" s="599"/>
      <c r="P97" s="599"/>
      <c r="Q97" s="599"/>
      <c r="R97" s="599"/>
      <c r="S97" s="599"/>
      <c r="T97" s="599"/>
      <c r="U97" s="599"/>
      <c r="V97" s="599"/>
      <c r="W97" s="599"/>
      <c r="X97" s="599"/>
      <c r="Y97" s="599"/>
      <c r="Z97" s="599"/>
      <c r="AA97" s="599"/>
      <c r="AB97" s="599"/>
      <c r="AC97" s="601"/>
      <c r="AD97" s="601"/>
      <c r="AE97" s="601"/>
      <c r="AF97" s="601"/>
      <c r="AG97" s="601"/>
      <c r="AH97" s="601"/>
      <c r="AI97" s="601"/>
      <c r="AJ97" s="601"/>
      <c r="AK97" s="601"/>
      <c r="AL97" s="601"/>
      <c r="AM97" s="601"/>
      <c r="AN97" s="601"/>
      <c r="AO97" s="601"/>
      <c r="AP97" s="598"/>
      <c r="AQ97" s="598"/>
      <c r="AU97" s="102"/>
      <c r="AV97" s="102"/>
    </row>
    <row r="98" spans="1:48" s="96" customFormat="1" ht="29.25" customHeight="1" x14ac:dyDescent="0.4">
      <c r="C98" s="635" t="s">
        <v>1</v>
      </c>
      <c r="D98" s="635"/>
      <c r="E98" s="635"/>
      <c r="F98" s="635"/>
      <c r="G98" s="725" t="str">
        <f>U12対戦スケジュール!U30</f>
        <v>平出南　PM</v>
      </c>
      <c r="H98" s="726"/>
      <c r="I98" s="726"/>
      <c r="J98" s="726"/>
      <c r="K98" s="726"/>
      <c r="L98" s="726"/>
      <c r="M98" s="726"/>
      <c r="N98" s="726"/>
      <c r="O98" s="727"/>
      <c r="P98" s="635" t="s">
        <v>0</v>
      </c>
      <c r="Q98" s="635"/>
      <c r="R98" s="635"/>
      <c r="S98" s="635"/>
      <c r="T98" s="725" t="str">
        <f>S100</f>
        <v>清原フューチャーズ</v>
      </c>
      <c r="U98" s="726"/>
      <c r="V98" s="726"/>
      <c r="W98" s="726"/>
      <c r="X98" s="726"/>
      <c r="Y98" s="726"/>
      <c r="Z98" s="726"/>
      <c r="AA98" s="726"/>
      <c r="AB98" s="727"/>
      <c r="AC98" s="635" t="s">
        <v>2</v>
      </c>
      <c r="AD98" s="635"/>
      <c r="AE98" s="635"/>
      <c r="AF98" s="635"/>
      <c r="AG98" s="618">
        <f>U12組合せ!B$27</f>
        <v>44310</v>
      </c>
      <c r="AH98" s="619"/>
      <c r="AI98" s="619"/>
      <c r="AJ98" s="619"/>
      <c r="AK98" s="619"/>
      <c r="AL98" s="619"/>
      <c r="AM98" s="620" t="str">
        <f>"（"&amp;TEXT(AG98,"aaa")&amp;"）"</f>
        <v>（土）</v>
      </c>
      <c r="AN98" s="620"/>
      <c r="AO98" s="621"/>
      <c r="AP98" s="116"/>
      <c r="AR98" s="96">
        <f>108/2</f>
        <v>54</v>
      </c>
      <c r="AU98" s="102"/>
      <c r="AV98" s="102"/>
    </row>
    <row r="99" spans="1:48" s="96" customFormat="1" ht="17.25" customHeight="1" x14ac:dyDescent="0.4">
      <c r="C99" s="96" t="str">
        <f>U12組合せ!K28</f>
        <v>D147</v>
      </c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95"/>
      <c r="X99" s="95"/>
      <c r="Y99" s="95"/>
      <c r="Z99" s="95"/>
      <c r="AA99" s="95"/>
      <c r="AB99" s="95"/>
      <c r="AC99" s="95"/>
      <c r="AR99" s="96">
        <v>32</v>
      </c>
      <c r="AU99" s="102"/>
      <c r="AV99" s="102"/>
    </row>
    <row r="100" spans="1:48" s="96" customFormat="1" ht="30.75" customHeight="1" x14ac:dyDescent="0.4">
      <c r="C100" s="636">
        <v>1</v>
      </c>
      <c r="D100" s="636"/>
      <c r="E100" s="709" t="str">
        <f>VLOOKUP(C100,U12組合せ!B$10:K$19,9,TRUE)</f>
        <v>FCブロケード</v>
      </c>
      <c r="F100" s="709"/>
      <c r="G100" s="709"/>
      <c r="H100" s="709"/>
      <c r="I100" s="709"/>
      <c r="J100" s="709"/>
      <c r="K100" s="709"/>
      <c r="L100" s="709"/>
      <c r="M100" s="709"/>
      <c r="N100" s="709"/>
      <c r="O100" s="94"/>
      <c r="P100" s="94"/>
      <c r="Q100" s="636">
        <v>4</v>
      </c>
      <c r="R100" s="636"/>
      <c r="S100" s="709" t="str">
        <f>VLOOKUP(Q100,U12組合せ!B$10:K$19,9,TRUE)</f>
        <v>清原フューチャーズ</v>
      </c>
      <c r="T100" s="709"/>
      <c r="U100" s="709"/>
      <c r="V100" s="709"/>
      <c r="W100" s="709"/>
      <c r="X100" s="709"/>
      <c r="Y100" s="709"/>
      <c r="Z100" s="709"/>
      <c r="AA100" s="709"/>
      <c r="AB100" s="709"/>
      <c r="AC100" s="92"/>
      <c r="AD100" s="93"/>
      <c r="AE100" s="636">
        <v>7</v>
      </c>
      <c r="AF100" s="636"/>
      <c r="AG100" s="709" t="str">
        <f>VLOOKUP(AE100,U12組合せ!B$10:'U12組合せ'!K$19,9,TRUE)</f>
        <v>宝木キッカーズ</v>
      </c>
      <c r="AH100" s="709"/>
      <c r="AI100" s="709"/>
      <c r="AJ100" s="709"/>
      <c r="AK100" s="709"/>
      <c r="AL100" s="709"/>
      <c r="AM100" s="709"/>
      <c r="AN100" s="709"/>
      <c r="AO100" s="709"/>
      <c r="AP100" s="709"/>
      <c r="AR100" s="96">
        <f>AR98-AR99</f>
        <v>22</v>
      </c>
      <c r="AU100" s="102"/>
      <c r="AV100" s="102"/>
    </row>
    <row r="101" spans="1:48" s="96" customFormat="1" ht="30.75" customHeight="1" x14ac:dyDescent="0.4">
      <c r="C101" s="637">
        <v>2</v>
      </c>
      <c r="D101" s="637"/>
      <c r="E101" s="584" t="str">
        <f>VLOOKUP(C101,U12組合せ!B$10:K$19,9,TRUE)</f>
        <v>FCみらいV</v>
      </c>
      <c r="F101" s="584"/>
      <c r="G101" s="584"/>
      <c r="H101" s="584"/>
      <c r="I101" s="584"/>
      <c r="J101" s="584"/>
      <c r="K101" s="584"/>
      <c r="L101" s="584"/>
      <c r="M101" s="584"/>
      <c r="N101" s="584"/>
      <c r="O101" s="94"/>
      <c r="P101" s="94"/>
      <c r="Q101" s="637">
        <v>5</v>
      </c>
      <c r="R101" s="637"/>
      <c r="S101" s="584" t="str">
        <f>VLOOKUP(Q101,U12組合せ!B$10:K$19,9,TRUE)</f>
        <v>ウエストフットコムU11</v>
      </c>
      <c r="T101" s="584"/>
      <c r="U101" s="584"/>
      <c r="V101" s="584"/>
      <c r="W101" s="584"/>
      <c r="X101" s="584"/>
      <c r="Y101" s="584"/>
      <c r="Z101" s="584"/>
      <c r="AA101" s="584"/>
      <c r="AB101" s="584"/>
      <c r="AC101" s="92"/>
      <c r="AD101" s="93"/>
      <c r="AE101" s="637">
        <v>8</v>
      </c>
      <c r="AF101" s="637"/>
      <c r="AG101" s="584" t="str">
        <f>VLOOKUP(AE101,U12組合せ!B$10:'U12組合せ'!K$19,9,TRUE)</f>
        <v>陽東SSS</v>
      </c>
      <c r="AH101" s="584"/>
      <c r="AI101" s="584"/>
      <c r="AJ101" s="584"/>
      <c r="AK101" s="584"/>
      <c r="AL101" s="584"/>
      <c r="AM101" s="584"/>
      <c r="AN101" s="584"/>
      <c r="AO101" s="584"/>
      <c r="AP101" s="584"/>
      <c r="AU101" s="102"/>
      <c r="AV101" s="102"/>
    </row>
    <row r="102" spans="1:48" s="96" customFormat="1" ht="30.75" customHeight="1" x14ac:dyDescent="0.4">
      <c r="C102" s="637">
        <v>3</v>
      </c>
      <c r="D102" s="637"/>
      <c r="E102" s="584" t="str">
        <f>VLOOKUP(C102,U12組合せ!B$10:K$19,9,TRUE)</f>
        <v>宇大付属小SSS U11</v>
      </c>
      <c r="F102" s="584"/>
      <c r="G102" s="584"/>
      <c r="H102" s="584"/>
      <c r="I102" s="584"/>
      <c r="J102" s="584"/>
      <c r="K102" s="584"/>
      <c r="L102" s="584"/>
      <c r="M102" s="584"/>
      <c r="N102" s="584"/>
      <c r="O102" s="94"/>
      <c r="P102" s="94"/>
      <c r="Q102" s="637">
        <v>6</v>
      </c>
      <c r="R102" s="637"/>
      <c r="S102" s="584" t="str">
        <f>VLOOKUP(Q102,U12組合せ!B$10:K$19,9,TRUE)</f>
        <v>SUGAOプロミネンス</v>
      </c>
      <c r="T102" s="584"/>
      <c r="U102" s="584"/>
      <c r="V102" s="584"/>
      <c r="W102" s="584"/>
      <c r="X102" s="584"/>
      <c r="Y102" s="584"/>
      <c r="Z102" s="584"/>
      <c r="AA102" s="584"/>
      <c r="AB102" s="584"/>
      <c r="AC102" s="92"/>
      <c r="AD102" s="93"/>
      <c r="AE102" s="637">
        <v>9</v>
      </c>
      <c r="AF102" s="637"/>
      <c r="AG102" s="584" t="str">
        <f>VLOOKUP(AE102,U12組合せ!B$10:'U12組合せ'!K$19,9,TRUE)</f>
        <v>ジュベニール</v>
      </c>
      <c r="AH102" s="584"/>
      <c r="AI102" s="584"/>
      <c r="AJ102" s="584"/>
      <c r="AK102" s="584"/>
      <c r="AL102" s="584"/>
      <c r="AM102" s="584"/>
      <c r="AN102" s="584"/>
      <c r="AO102" s="584"/>
      <c r="AP102" s="584"/>
      <c r="AU102" s="102"/>
      <c r="AV102" s="102"/>
    </row>
    <row r="103" spans="1:48" s="96" customFormat="1" ht="12" customHeight="1" x14ac:dyDescent="0.4">
      <c r="C103" s="121"/>
      <c r="D103" s="121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94"/>
      <c r="P103" s="94"/>
      <c r="Q103" s="123"/>
      <c r="R103" s="123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92"/>
      <c r="AD103" s="93"/>
      <c r="AE103" s="123"/>
      <c r="AF103" s="123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U103" s="102"/>
      <c r="AV103" s="102"/>
    </row>
    <row r="104" spans="1:48" s="96" customFormat="1" ht="12" customHeight="1" x14ac:dyDescent="0.4">
      <c r="B104" s="102"/>
      <c r="O104" s="102"/>
      <c r="P104" s="102"/>
      <c r="AC104" s="95"/>
      <c r="AD104" s="102"/>
      <c r="AE104" s="102"/>
      <c r="AF104" s="102"/>
      <c r="AG104" s="102"/>
      <c r="AU104" s="102"/>
      <c r="AV104" s="102"/>
    </row>
    <row r="105" spans="1:48" s="96" customFormat="1" ht="12" customHeight="1" x14ac:dyDescent="0.4">
      <c r="C105" s="117"/>
      <c r="D105" s="118"/>
      <c r="E105" s="118"/>
      <c r="F105" s="118"/>
      <c r="G105" s="118"/>
      <c r="H105" s="118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18"/>
      <c r="U105" s="102"/>
      <c r="V105" s="118"/>
      <c r="W105" s="102"/>
      <c r="X105" s="118"/>
      <c r="Y105" s="102"/>
      <c r="Z105" s="118"/>
      <c r="AA105" s="102"/>
      <c r="AB105" s="118"/>
      <c r="AC105" s="118"/>
      <c r="AU105" s="102"/>
      <c r="AV105" s="102"/>
    </row>
    <row r="106" spans="1:48" s="96" customFormat="1" ht="21.75" customHeight="1" x14ac:dyDescent="0.4">
      <c r="B106" s="118" t="str">
        <f ca="1">IF(B108="①","【監督会議 8：20～】","【監督会議 12：50～】")</f>
        <v>【監督会議 12：50～】</v>
      </c>
      <c r="I106" s="96" t="s">
        <v>330</v>
      </c>
      <c r="AU106" s="102"/>
      <c r="AV106" s="102"/>
    </row>
    <row r="107" spans="1:48" s="96" customFormat="1" ht="19.5" customHeight="1" x14ac:dyDescent="0.4">
      <c r="B107" s="97"/>
      <c r="C107" s="711" t="s">
        <v>3</v>
      </c>
      <c r="D107" s="711"/>
      <c r="E107" s="711"/>
      <c r="F107" s="712" t="s">
        <v>4</v>
      </c>
      <c r="G107" s="712"/>
      <c r="H107" s="712"/>
      <c r="I107" s="712"/>
      <c r="J107" s="711" t="s">
        <v>5</v>
      </c>
      <c r="K107" s="713"/>
      <c r="L107" s="713"/>
      <c r="M107" s="713"/>
      <c r="N107" s="713"/>
      <c r="O107" s="713"/>
      <c r="P107" s="713"/>
      <c r="Q107" s="711" t="s">
        <v>32</v>
      </c>
      <c r="R107" s="711"/>
      <c r="S107" s="711"/>
      <c r="T107" s="711"/>
      <c r="U107" s="711"/>
      <c r="V107" s="711"/>
      <c r="W107" s="711"/>
      <c r="X107" s="711" t="s">
        <v>5</v>
      </c>
      <c r="Y107" s="713"/>
      <c r="Z107" s="713"/>
      <c r="AA107" s="713"/>
      <c r="AB107" s="713"/>
      <c r="AC107" s="713"/>
      <c r="AD107" s="713"/>
      <c r="AE107" s="712" t="s">
        <v>4</v>
      </c>
      <c r="AF107" s="712"/>
      <c r="AG107" s="712"/>
      <c r="AH107" s="712"/>
      <c r="AI107" s="711" t="s">
        <v>6</v>
      </c>
      <c r="AJ107" s="711"/>
      <c r="AK107" s="713"/>
      <c r="AL107" s="713"/>
      <c r="AM107" s="713"/>
      <c r="AN107" s="713"/>
      <c r="AO107" s="713"/>
      <c r="AP107" s="713"/>
      <c r="AU107" s="102"/>
      <c r="AV107" s="102"/>
    </row>
    <row r="108" spans="1:48" s="96" customFormat="1" ht="19.5" customHeight="1" x14ac:dyDescent="0.4">
      <c r="B108" s="644" t="str">
        <f ca="1">DBCS(INDIRECT("U12対戦スケジュール!S"&amp;(ROW())/2-AR$100))</f>
        <v>④</v>
      </c>
      <c r="C108" s="645">
        <f ca="1">INDIRECT("U12対戦スケジュール!T"&amp;(ROW())/2-AR$100)</f>
        <v>0.5625</v>
      </c>
      <c r="D108" s="646"/>
      <c r="E108" s="647"/>
      <c r="F108" s="583"/>
      <c r="G108" s="583"/>
      <c r="H108" s="583"/>
      <c r="I108" s="583"/>
      <c r="J108" s="746" t="str">
        <f ca="1">VLOOKUP(AR108,U12組合せ!B$10:K$19,9,TRUE)</f>
        <v>FCブロケード</v>
      </c>
      <c r="K108" s="747"/>
      <c r="L108" s="747"/>
      <c r="M108" s="747"/>
      <c r="N108" s="747"/>
      <c r="O108" s="747"/>
      <c r="P108" s="747"/>
      <c r="Q108" s="628">
        <f>IF(OR(S108="",S109=""),"",S108+S109)</f>
        <v>0</v>
      </c>
      <c r="R108" s="630"/>
      <c r="S108" s="100">
        <v>0</v>
      </c>
      <c r="T108" s="101" t="s">
        <v>7</v>
      </c>
      <c r="U108" s="100">
        <v>2</v>
      </c>
      <c r="V108" s="628">
        <f>IF(OR(U108="",U109=""),"",U108+U109)</f>
        <v>2</v>
      </c>
      <c r="W108" s="630"/>
      <c r="X108" s="746" t="str">
        <f ca="1">VLOOKUP(AS108,U12組合せ!B$10:K$19,9,TRUE)</f>
        <v>清原フューチャーズ</v>
      </c>
      <c r="Y108" s="747"/>
      <c r="Z108" s="747"/>
      <c r="AA108" s="747"/>
      <c r="AB108" s="747"/>
      <c r="AC108" s="747"/>
      <c r="AD108" s="747"/>
      <c r="AE108" s="583"/>
      <c r="AF108" s="583"/>
      <c r="AG108" s="583"/>
      <c r="AH108" s="583"/>
      <c r="AI108" s="758" t="str">
        <f ca="1">DBCS(INDIRECT("U12対戦スケジュール!X"&amp;(ROW())/2-AR$100))</f>
        <v>７／１／４／７</v>
      </c>
      <c r="AJ108" s="759"/>
      <c r="AK108" s="759"/>
      <c r="AL108" s="759"/>
      <c r="AM108" s="759"/>
      <c r="AN108" s="759"/>
      <c r="AO108" s="759"/>
      <c r="AP108" s="760"/>
      <c r="AR108" s="119">
        <f ca="1">INDIRECT("U12対戦スケジュール!U"&amp;(ROW())/2-AR$100)</f>
        <v>1</v>
      </c>
      <c r="AS108" s="119">
        <f ca="1">INDIRECT("U12対戦スケジュール!W"&amp;(ROW())/2-AR$100)</f>
        <v>4</v>
      </c>
      <c r="AU108" s="102"/>
      <c r="AV108" s="102"/>
    </row>
    <row r="109" spans="1:48" s="96" customFormat="1" ht="19.5" customHeight="1" x14ac:dyDescent="0.4">
      <c r="B109" s="644"/>
      <c r="C109" s="648"/>
      <c r="D109" s="649"/>
      <c r="E109" s="650"/>
      <c r="F109" s="583"/>
      <c r="G109" s="583"/>
      <c r="H109" s="583"/>
      <c r="I109" s="583"/>
      <c r="J109" s="747"/>
      <c r="K109" s="747"/>
      <c r="L109" s="747"/>
      <c r="M109" s="747"/>
      <c r="N109" s="747"/>
      <c r="O109" s="747"/>
      <c r="P109" s="747"/>
      <c r="Q109" s="631"/>
      <c r="R109" s="633"/>
      <c r="S109" s="100">
        <v>0</v>
      </c>
      <c r="T109" s="101" t="s">
        <v>7</v>
      </c>
      <c r="U109" s="100">
        <v>0</v>
      </c>
      <c r="V109" s="631"/>
      <c r="W109" s="633"/>
      <c r="X109" s="747"/>
      <c r="Y109" s="747"/>
      <c r="Z109" s="747"/>
      <c r="AA109" s="747"/>
      <c r="AB109" s="747"/>
      <c r="AC109" s="747"/>
      <c r="AD109" s="747"/>
      <c r="AE109" s="583"/>
      <c r="AF109" s="583"/>
      <c r="AG109" s="583"/>
      <c r="AH109" s="583"/>
      <c r="AI109" s="761"/>
      <c r="AJ109" s="762"/>
      <c r="AK109" s="762"/>
      <c r="AL109" s="762"/>
      <c r="AM109" s="762"/>
      <c r="AN109" s="762"/>
      <c r="AO109" s="762"/>
      <c r="AP109" s="763"/>
      <c r="AR109" s="119"/>
      <c r="AS109" s="119"/>
      <c r="AU109" s="102"/>
      <c r="AV109" s="102"/>
    </row>
    <row r="110" spans="1:48" s="96" customFormat="1" ht="19.5" customHeight="1" x14ac:dyDescent="0.4">
      <c r="B110" s="644" t="str">
        <f ca="1">DBCS(INDIRECT("U12対戦スケジュール!S"&amp;(ROW())/2-AR$100))</f>
        <v>⑤</v>
      </c>
      <c r="C110" s="645">
        <f ca="1">INDIRECT("U12対戦スケジュール!T"&amp;(ROW())/2-AR$100)</f>
        <v>0.60450000000000004</v>
      </c>
      <c r="D110" s="646"/>
      <c r="E110" s="647"/>
      <c r="F110" s="583"/>
      <c r="G110" s="583"/>
      <c r="H110" s="583"/>
      <c r="I110" s="583"/>
      <c r="J110" s="746" t="str">
        <f ca="1">VLOOKUP(AR110,U12組合せ!B$10:K$19,9,TRUE)</f>
        <v>宝木キッカーズ</v>
      </c>
      <c r="K110" s="747"/>
      <c r="L110" s="747"/>
      <c r="M110" s="747"/>
      <c r="N110" s="747"/>
      <c r="O110" s="747"/>
      <c r="P110" s="747"/>
      <c r="Q110" s="634">
        <f>IF(OR(S110="",S111=""),"",S110+S111)</f>
        <v>2</v>
      </c>
      <c r="R110" s="634"/>
      <c r="S110" s="100">
        <v>0</v>
      </c>
      <c r="T110" s="101" t="s">
        <v>7</v>
      </c>
      <c r="U110" s="100">
        <v>1</v>
      </c>
      <c r="V110" s="634">
        <f>IF(OR(U110="",U111=""),"",U110+U111)</f>
        <v>1</v>
      </c>
      <c r="W110" s="634"/>
      <c r="X110" s="746" t="str">
        <f ca="1">VLOOKUP(AS110,U12組合せ!B$10:K$19,9,TRUE)</f>
        <v>清原フューチャーズ</v>
      </c>
      <c r="Y110" s="747"/>
      <c r="Z110" s="747"/>
      <c r="AA110" s="747"/>
      <c r="AB110" s="747"/>
      <c r="AC110" s="747"/>
      <c r="AD110" s="747"/>
      <c r="AE110" s="583"/>
      <c r="AF110" s="583"/>
      <c r="AG110" s="583"/>
      <c r="AH110" s="583"/>
      <c r="AI110" s="758" t="str">
        <f t="shared" ref="AI110" ca="1" si="0">DBCS(INDIRECT("U12対戦スケジュール!X"&amp;(ROW())/2-AR$100))</f>
        <v>１／４／７／１</v>
      </c>
      <c r="AJ110" s="759"/>
      <c r="AK110" s="759"/>
      <c r="AL110" s="759"/>
      <c r="AM110" s="759"/>
      <c r="AN110" s="759"/>
      <c r="AO110" s="759"/>
      <c r="AP110" s="760"/>
      <c r="AR110" s="119">
        <f ca="1">INDIRECT("U12対戦スケジュール!U"&amp;(ROW())/2-AR$100)</f>
        <v>7</v>
      </c>
      <c r="AS110" s="119">
        <f ca="1">INDIRECT("U12対戦スケジュール!W"&amp;(ROW())/2-AR$100)</f>
        <v>4</v>
      </c>
      <c r="AU110" s="102"/>
      <c r="AV110" s="102"/>
    </row>
    <row r="111" spans="1:48" s="96" customFormat="1" ht="19.5" customHeight="1" x14ac:dyDescent="0.4">
      <c r="B111" s="644"/>
      <c r="C111" s="648"/>
      <c r="D111" s="649"/>
      <c r="E111" s="650"/>
      <c r="F111" s="583"/>
      <c r="G111" s="583"/>
      <c r="H111" s="583"/>
      <c r="I111" s="583"/>
      <c r="J111" s="747"/>
      <c r="K111" s="747"/>
      <c r="L111" s="747"/>
      <c r="M111" s="747"/>
      <c r="N111" s="747"/>
      <c r="O111" s="747"/>
      <c r="P111" s="747"/>
      <c r="Q111" s="634"/>
      <c r="R111" s="634"/>
      <c r="S111" s="100">
        <v>2</v>
      </c>
      <c r="T111" s="101" t="s">
        <v>7</v>
      </c>
      <c r="U111" s="100">
        <v>0</v>
      </c>
      <c r="V111" s="634"/>
      <c r="W111" s="634"/>
      <c r="X111" s="747"/>
      <c r="Y111" s="747"/>
      <c r="Z111" s="747"/>
      <c r="AA111" s="747"/>
      <c r="AB111" s="747"/>
      <c r="AC111" s="747"/>
      <c r="AD111" s="747"/>
      <c r="AE111" s="583"/>
      <c r="AF111" s="583"/>
      <c r="AG111" s="583"/>
      <c r="AH111" s="583"/>
      <c r="AI111" s="761"/>
      <c r="AJ111" s="762"/>
      <c r="AK111" s="762"/>
      <c r="AL111" s="762"/>
      <c r="AM111" s="762"/>
      <c r="AN111" s="762"/>
      <c r="AO111" s="762"/>
      <c r="AP111" s="763"/>
      <c r="AR111" s="119"/>
      <c r="AS111" s="119"/>
      <c r="AU111" s="102"/>
      <c r="AV111" s="102"/>
    </row>
    <row r="112" spans="1:48" s="96" customFormat="1" ht="19.5" customHeight="1" x14ac:dyDescent="0.4">
      <c r="B112" s="644" t="str">
        <f ca="1">DBCS(INDIRECT("U12対戦スケジュール!S"&amp;(ROW())/2-AR$100))</f>
        <v>⑥</v>
      </c>
      <c r="C112" s="645">
        <f ca="1">INDIRECT("U12対戦スケジュール!T"&amp;(ROW())/2-AR$100)</f>
        <v>0.64650000000000007</v>
      </c>
      <c r="D112" s="646"/>
      <c r="E112" s="647"/>
      <c r="F112" s="583"/>
      <c r="G112" s="583"/>
      <c r="H112" s="583"/>
      <c r="I112" s="583"/>
      <c r="J112" s="746" t="str">
        <f ca="1">VLOOKUP(AR112,U12組合せ!B$10:K$19,9,TRUE)</f>
        <v>宝木キッカーズ</v>
      </c>
      <c r="K112" s="747"/>
      <c r="L112" s="747"/>
      <c r="M112" s="747"/>
      <c r="N112" s="747"/>
      <c r="O112" s="747"/>
      <c r="P112" s="747"/>
      <c r="Q112" s="634">
        <f>IF(OR(S112="",S113=""),"",S112+S113)</f>
        <v>7</v>
      </c>
      <c r="R112" s="634"/>
      <c r="S112" s="100">
        <v>2</v>
      </c>
      <c r="T112" s="101" t="s">
        <v>7</v>
      </c>
      <c r="U112" s="100">
        <v>0</v>
      </c>
      <c r="V112" s="634">
        <f>IF(OR(U112="",U113=""),"",U112+U113)</f>
        <v>0</v>
      </c>
      <c r="W112" s="634"/>
      <c r="X112" s="746" t="str">
        <f ca="1">VLOOKUP(AS112,U12組合せ!B$10:K$19,9,TRUE)</f>
        <v>FCブロケード</v>
      </c>
      <c r="Y112" s="747"/>
      <c r="Z112" s="747"/>
      <c r="AA112" s="747"/>
      <c r="AB112" s="747"/>
      <c r="AC112" s="747"/>
      <c r="AD112" s="747"/>
      <c r="AE112" s="583"/>
      <c r="AF112" s="583"/>
      <c r="AG112" s="583"/>
      <c r="AH112" s="583"/>
      <c r="AI112" s="758" t="str">
        <f t="shared" ref="AI112" ca="1" si="1">DBCS(INDIRECT("U12対戦スケジュール!X"&amp;(ROW())/2-AR$100))</f>
        <v>４／７／１／４</v>
      </c>
      <c r="AJ112" s="759"/>
      <c r="AK112" s="759"/>
      <c r="AL112" s="759"/>
      <c r="AM112" s="759"/>
      <c r="AN112" s="759"/>
      <c r="AO112" s="759"/>
      <c r="AP112" s="760"/>
      <c r="AR112" s="119">
        <f ca="1">INDIRECT("U12対戦スケジュール!U"&amp;(ROW())/2-AR$100)</f>
        <v>7</v>
      </c>
      <c r="AS112" s="119">
        <f ca="1">INDIRECT("U12対戦スケジュール!W"&amp;(ROW())/2-AR$100)</f>
        <v>1</v>
      </c>
      <c r="AU112" s="102"/>
      <c r="AV112" s="102"/>
    </row>
    <row r="113" spans="1:48" s="96" customFormat="1" ht="19.5" customHeight="1" x14ac:dyDescent="0.4">
      <c r="B113" s="644"/>
      <c r="C113" s="648"/>
      <c r="D113" s="649"/>
      <c r="E113" s="650"/>
      <c r="F113" s="583"/>
      <c r="G113" s="583"/>
      <c r="H113" s="583"/>
      <c r="I113" s="583"/>
      <c r="J113" s="747"/>
      <c r="K113" s="747"/>
      <c r="L113" s="747"/>
      <c r="M113" s="747"/>
      <c r="N113" s="747"/>
      <c r="O113" s="747"/>
      <c r="P113" s="747"/>
      <c r="Q113" s="634"/>
      <c r="R113" s="634"/>
      <c r="S113" s="100">
        <v>5</v>
      </c>
      <c r="T113" s="101" t="s">
        <v>7</v>
      </c>
      <c r="U113" s="100">
        <v>0</v>
      </c>
      <c r="V113" s="634"/>
      <c r="W113" s="634"/>
      <c r="X113" s="747"/>
      <c r="Y113" s="747"/>
      <c r="Z113" s="747"/>
      <c r="AA113" s="747"/>
      <c r="AB113" s="747"/>
      <c r="AC113" s="747"/>
      <c r="AD113" s="747"/>
      <c r="AE113" s="583"/>
      <c r="AF113" s="583"/>
      <c r="AG113" s="583"/>
      <c r="AH113" s="583"/>
      <c r="AI113" s="761"/>
      <c r="AJ113" s="762"/>
      <c r="AK113" s="762"/>
      <c r="AL113" s="762"/>
      <c r="AM113" s="762"/>
      <c r="AN113" s="762"/>
      <c r="AO113" s="762"/>
      <c r="AP113" s="763"/>
      <c r="AR113" s="119"/>
      <c r="AS113" s="119"/>
      <c r="AU113" s="102"/>
      <c r="AV113" s="102"/>
    </row>
    <row r="114" spans="1:48" s="96" customFormat="1" ht="19.5" customHeight="1" x14ac:dyDescent="0.4">
      <c r="B114" s="586"/>
      <c r="C114" s="739"/>
      <c r="D114" s="740"/>
      <c r="E114" s="741"/>
      <c r="F114" s="704"/>
      <c r="G114" s="704"/>
      <c r="H114" s="704"/>
      <c r="I114" s="704"/>
      <c r="J114" s="701"/>
      <c r="K114" s="702"/>
      <c r="L114" s="702"/>
      <c r="M114" s="702"/>
      <c r="N114" s="702"/>
      <c r="O114" s="702"/>
      <c r="P114" s="702"/>
      <c r="Q114" s="705"/>
      <c r="R114" s="705"/>
      <c r="S114" s="109"/>
      <c r="T114" s="110"/>
      <c r="U114" s="109"/>
      <c r="V114" s="705"/>
      <c r="W114" s="705"/>
      <c r="X114" s="701"/>
      <c r="Y114" s="702"/>
      <c r="Z114" s="702"/>
      <c r="AA114" s="702"/>
      <c r="AB114" s="702"/>
      <c r="AC114" s="702"/>
      <c r="AD114" s="702"/>
      <c r="AE114" s="704"/>
      <c r="AF114" s="704"/>
      <c r="AG114" s="704"/>
      <c r="AH114" s="704"/>
      <c r="AI114" s="706"/>
      <c r="AJ114" s="707"/>
      <c r="AK114" s="707"/>
      <c r="AL114" s="707"/>
      <c r="AM114" s="707"/>
      <c r="AN114" s="707"/>
      <c r="AO114" s="707"/>
      <c r="AP114" s="707"/>
      <c r="AR114" s="119"/>
      <c r="AS114" s="119"/>
      <c r="AU114" s="102"/>
      <c r="AV114" s="102"/>
    </row>
    <row r="115" spans="1:48" s="96" customFormat="1" ht="19.5" customHeight="1" x14ac:dyDescent="0.4">
      <c r="B115" s="644"/>
      <c r="C115" s="648"/>
      <c r="D115" s="649"/>
      <c r="E115" s="650"/>
      <c r="F115" s="583"/>
      <c r="G115" s="583"/>
      <c r="H115" s="583"/>
      <c r="I115" s="583"/>
      <c r="J115" s="703"/>
      <c r="K115" s="703"/>
      <c r="L115" s="703"/>
      <c r="M115" s="703"/>
      <c r="N115" s="703"/>
      <c r="O115" s="703"/>
      <c r="P115" s="703"/>
      <c r="Q115" s="634"/>
      <c r="R115" s="634"/>
      <c r="S115" s="100"/>
      <c r="T115" s="101"/>
      <c r="U115" s="100"/>
      <c r="V115" s="634"/>
      <c r="W115" s="634"/>
      <c r="X115" s="703"/>
      <c r="Y115" s="703"/>
      <c r="Z115" s="703"/>
      <c r="AA115" s="703"/>
      <c r="AB115" s="703"/>
      <c r="AC115" s="703"/>
      <c r="AD115" s="703"/>
      <c r="AE115" s="583"/>
      <c r="AF115" s="583"/>
      <c r="AG115" s="583"/>
      <c r="AH115" s="583"/>
      <c r="AI115" s="708"/>
      <c r="AJ115" s="708"/>
      <c r="AK115" s="708"/>
      <c r="AL115" s="708"/>
      <c r="AM115" s="708"/>
      <c r="AN115" s="708"/>
      <c r="AO115" s="708"/>
      <c r="AP115" s="708"/>
      <c r="AR115" s="119"/>
      <c r="AS115" s="119"/>
      <c r="AU115" s="102"/>
      <c r="AV115" s="102"/>
    </row>
    <row r="116" spans="1:48" s="96" customFormat="1" ht="19.5" customHeight="1" x14ac:dyDescent="0.4">
      <c r="B116" s="585"/>
      <c r="C116" s="587"/>
      <c r="D116" s="588"/>
      <c r="E116" s="589"/>
      <c r="F116" s="622"/>
      <c r="G116" s="623"/>
      <c r="H116" s="623"/>
      <c r="I116" s="624"/>
      <c r="J116" s="689"/>
      <c r="K116" s="690"/>
      <c r="L116" s="690"/>
      <c r="M116" s="690"/>
      <c r="N116" s="690"/>
      <c r="O116" s="690"/>
      <c r="P116" s="691"/>
      <c r="Q116" s="628"/>
      <c r="R116" s="630"/>
      <c r="S116" s="100"/>
      <c r="T116" s="101"/>
      <c r="U116" s="100"/>
      <c r="V116" s="628"/>
      <c r="W116" s="630"/>
      <c r="X116" s="695"/>
      <c r="Y116" s="696"/>
      <c r="Z116" s="696"/>
      <c r="AA116" s="696"/>
      <c r="AB116" s="696"/>
      <c r="AC116" s="696"/>
      <c r="AD116" s="697"/>
      <c r="AE116" s="622"/>
      <c r="AF116" s="623"/>
      <c r="AG116" s="623"/>
      <c r="AH116" s="624"/>
      <c r="AI116" s="628"/>
      <c r="AJ116" s="629"/>
      <c r="AK116" s="629"/>
      <c r="AL116" s="629"/>
      <c r="AM116" s="629"/>
      <c r="AN116" s="629"/>
      <c r="AO116" s="629"/>
      <c r="AP116" s="630"/>
      <c r="AU116" s="102"/>
      <c r="AV116" s="102"/>
    </row>
    <row r="117" spans="1:48" s="96" customFormat="1" ht="19.5" customHeight="1" x14ac:dyDescent="0.4">
      <c r="B117" s="586"/>
      <c r="C117" s="590"/>
      <c r="D117" s="591"/>
      <c r="E117" s="592"/>
      <c r="F117" s="625"/>
      <c r="G117" s="626"/>
      <c r="H117" s="626"/>
      <c r="I117" s="627"/>
      <c r="J117" s="692"/>
      <c r="K117" s="693"/>
      <c r="L117" s="693"/>
      <c r="M117" s="693"/>
      <c r="N117" s="693"/>
      <c r="O117" s="693"/>
      <c r="P117" s="694"/>
      <c r="Q117" s="631"/>
      <c r="R117" s="633"/>
      <c r="S117" s="100"/>
      <c r="T117" s="101"/>
      <c r="U117" s="100"/>
      <c r="V117" s="631"/>
      <c r="W117" s="633"/>
      <c r="X117" s="698"/>
      <c r="Y117" s="699"/>
      <c r="Z117" s="699"/>
      <c r="AA117" s="699"/>
      <c r="AB117" s="699"/>
      <c r="AC117" s="699"/>
      <c r="AD117" s="700"/>
      <c r="AE117" s="625"/>
      <c r="AF117" s="626"/>
      <c r="AG117" s="626"/>
      <c r="AH117" s="627"/>
      <c r="AI117" s="631"/>
      <c r="AJ117" s="632"/>
      <c r="AK117" s="632"/>
      <c r="AL117" s="632"/>
      <c r="AM117" s="632"/>
      <c r="AN117" s="632"/>
      <c r="AO117" s="632"/>
      <c r="AP117" s="633"/>
      <c r="AU117" s="102"/>
      <c r="AV117" s="102"/>
    </row>
    <row r="118" spans="1:48" s="96" customFormat="1" ht="19.5" customHeight="1" x14ac:dyDescent="0.4">
      <c r="B118" s="585"/>
      <c r="C118" s="587"/>
      <c r="D118" s="588"/>
      <c r="E118" s="589"/>
      <c r="F118" s="622"/>
      <c r="G118" s="623"/>
      <c r="H118" s="623"/>
      <c r="I118" s="624"/>
      <c r="J118" s="689"/>
      <c r="K118" s="690"/>
      <c r="L118" s="690"/>
      <c r="M118" s="690"/>
      <c r="N118" s="690"/>
      <c r="O118" s="690"/>
      <c r="P118" s="691"/>
      <c r="Q118" s="628"/>
      <c r="R118" s="630"/>
      <c r="S118" s="100"/>
      <c r="T118" s="101"/>
      <c r="U118" s="100"/>
      <c r="V118" s="628"/>
      <c r="W118" s="630"/>
      <c r="X118" s="695"/>
      <c r="Y118" s="696"/>
      <c r="Z118" s="696"/>
      <c r="AA118" s="696"/>
      <c r="AB118" s="696"/>
      <c r="AC118" s="696"/>
      <c r="AD118" s="697"/>
      <c r="AE118" s="622"/>
      <c r="AF118" s="623"/>
      <c r="AG118" s="623"/>
      <c r="AH118" s="624"/>
      <c r="AI118" s="628"/>
      <c r="AJ118" s="629"/>
      <c r="AK118" s="629"/>
      <c r="AL118" s="629"/>
      <c r="AM118" s="629"/>
      <c r="AN118" s="629"/>
      <c r="AO118" s="629"/>
      <c r="AP118" s="630"/>
      <c r="AU118" s="102"/>
      <c r="AV118" s="102"/>
    </row>
    <row r="119" spans="1:48" s="96" customFormat="1" ht="19.5" customHeight="1" x14ac:dyDescent="0.4">
      <c r="B119" s="586"/>
      <c r="C119" s="590"/>
      <c r="D119" s="591"/>
      <c r="E119" s="592"/>
      <c r="F119" s="625"/>
      <c r="G119" s="626"/>
      <c r="H119" s="626"/>
      <c r="I119" s="627"/>
      <c r="J119" s="692"/>
      <c r="K119" s="693"/>
      <c r="L119" s="693"/>
      <c r="M119" s="693"/>
      <c r="N119" s="693"/>
      <c r="O119" s="693"/>
      <c r="P119" s="694"/>
      <c r="Q119" s="631"/>
      <c r="R119" s="633"/>
      <c r="S119" s="100"/>
      <c r="T119" s="101"/>
      <c r="U119" s="100"/>
      <c r="V119" s="631"/>
      <c r="W119" s="633"/>
      <c r="X119" s="698"/>
      <c r="Y119" s="699"/>
      <c r="Z119" s="699"/>
      <c r="AA119" s="699"/>
      <c r="AB119" s="699"/>
      <c r="AC119" s="699"/>
      <c r="AD119" s="700"/>
      <c r="AE119" s="625"/>
      <c r="AF119" s="626"/>
      <c r="AG119" s="626"/>
      <c r="AH119" s="627"/>
      <c r="AI119" s="631"/>
      <c r="AJ119" s="632"/>
      <c r="AK119" s="632"/>
      <c r="AL119" s="632"/>
      <c r="AM119" s="632"/>
      <c r="AN119" s="632"/>
      <c r="AO119" s="632"/>
      <c r="AP119" s="633"/>
      <c r="AU119" s="102"/>
      <c r="AV119" s="102"/>
    </row>
    <row r="120" spans="1:48" s="96" customFormat="1" ht="16.5" x14ac:dyDescent="0.4">
      <c r="B120" s="585"/>
      <c r="C120" s="587"/>
      <c r="D120" s="588"/>
      <c r="E120" s="589"/>
      <c r="F120" s="622"/>
      <c r="G120" s="623"/>
      <c r="H120" s="623"/>
      <c r="I120" s="624"/>
      <c r="J120" s="689"/>
      <c r="K120" s="690"/>
      <c r="L120" s="690"/>
      <c r="M120" s="690"/>
      <c r="N120" s="690"/>
      <c r="O120" s="690"/>
      <c r="P120" s="691"/>
      <c r="Q120" s="628"/>
      <c r="R120" s="630"/>
      <c r="S120" s="100"/>
      <c r="T120" s="101"/>
      <c r="U120" s="100"/>
      <c r="V120" s="628"/>
      <c r="W120" s="630"/>
      <c r="X120" s="695"/>
      <c r="Y120" s="696"/>
      <c r="Z120" s="696"/>
      <c r="AA120" s="696"/>
      <c r="AB120" s="696"/>
      <c r="AC120" s="696"/>
      <c r="AD120" s="697"/>
      <c r="AE120" s="622"/>
      <c r="AF120" s="623"/>
      <c r="AG120" s="623"/>
      <c r="AH120" s="624"/>
      <c r="AI120" s="628"/>
      <c r="AJ120" s="629"/>
      <c r="AK120" s="629"/>
      <c r="AL120" s="629"/>
      <c r="AM120" s="629"/>
      <c r="AN120" s="629"/>
      <c r="AO120" s="629"/>
      <c r="AP120" s="630"/>
      <c r="AU120" s="102"/>
      <c r="AV120" s="102"/>
    </row>
    <row r="121" spans="1:48" s="96" customFormat="1" ht="16.5" x14ac:dyDescent="0.4">
      <c r="B121" s="586"/>
      <c r="C121" s="590"/>
      <c r="D121" s="591"/>
      <c r="E121" s="592"/>
      <c r="F121" s="625"/>
      <c r="G121" s="626"/>
      <c r="H121" s="626"/>
      <c r="I121" s="627"/>
      <c r="J121" s="692"/>
      <c r="K121" s="693"/>
      <c r="L121" s="693"/>
      <c r="M121" s="693"/>
      <c r="N121" s="693"/>
      <c r="O121" s="693"/>
      <c r="P121" s="694"/>
      <c r="Q121" s="631"/>
      <c r="R121" s="633"/>
      <c r="S121" s="100"/>
      <c r="T121" s="101"/>
      <c r="U121" s="100"/>
      <c r="V121" s="631"/>
      <c r="W121" s="633"/>
      <c r="X121" s="698"/>
      <c r="Y121" s="699"/>
      <c r="Z121" s="699"/>
      <c r="AA121" s="699"/>
      <c r="AB121" s="699"/>
      <c r="AC121" s="699"/>
      <c r="AD121" s="700"/>
      <c r="AE121" s="625"/>
      <c r="AF121" s="626"/>
      <c r="AG121" s="626"/>
      <c r="AH121" s="627"/>
      <c r="AI121" s="631"/>
      <c r="AJ121" s="632"/>
      <c r="AK121" s="632"/>
      <c r="AL121" s="632"/>
      <c r="AM121" s="632"/>
      <c r="AN121" s="632"/>
      <c r="AO121" s="632"/>
      <c r="AP121" s="633"/>
      <c r="AU121" s="102"/>
      <c r="AV121" s="102"/>
    </row>
    <row r="122" spans="1:48" s="96" customFormat="1" ht="20.25" thickBot="1" x14ac:dyDescent="0.45">
      <c r="A122" s="102"/>
      <c r="B122" s="103"/>
      <c r="C122" s="104"/>
      <c r="D122" s="104"/>
      <c r="E122" s="104"/>
      <c r="F122" s="103"/>
      <c r="G122" s="103"/>
      <c r="H122" s="103"/>
      <c r="I122" s="103"/>
      <c r="J122" s="103"/>
      <c r="K122" s="105"/>
      <c r="L122" s="105"/>
      <c r="M122" s="106"/>
      <c r="N122" s="107"/>
      <c r="O122" s="106"/>
      <c r="P122" s="105"/>
      <c r="Q122" s="105"/>
      <c r="R122" s="103"/>
      <c r="S122" s="103"/>
      <c r="T122" s="103"/>
      <c r="U122" s="103"/>
      <c r="V122" s="103"/>
      <c r="W122" s="108"/>
      <c r="X122" s="108"/>
      <c r="Y122" s="108"/>
      <c r="Z122" s="108"/>
      <c r="AA122" s="108"/>
      <c r="AB122" s="108"/>
      <c r="AC122" s="102"/>
      <c r="AU122" s="102"/>
      <c r="AV122" s="102"/>
    </row>
    <row r="123" spans="1:48" s="96" customFormat="1" ht="20.25" thickBot="1" x14ac:dyDescent="0.45">
      <c r="D123" s="664" t="s">
        <v>8</v>
      </c>
      <c r="E123" s="665"/>
      <c r="F123" s="665"/>
      <c r="G123" s="665"/>
      <c r="H123" s="665"/>
      <c r="I123" s="666"/>
      <c r="J123" s="667" t="s">
        <v>5</v>
      </c>
      <c r="K123" s="665"/>
      <c r="L123" s="665"/>
      <c r="M123" s="665"/>
      <c r="N123" s="665"/>
      <c r="O123" s="665"/>
      <c r="P123" s="665"/>
      <c r="Q123" s="666"/>
      <c r="R123" s="668" t="s">
        <v>9</v>
      </c>
      <c r="S123" s="669"/>
      <c r="T123" s="669"/>
      <c r="U123" s="669"/>
      <c r="V123" s="669"/>
      <c r="W123" s="669"/>
      <c r="X123" s="669"/>
      <c r="Y123" s="669"/>
      <c r="Z123" s="670"/>
      <c r="AA123" s="609" t="s">
        <v>10</v>
      </c>
      <c r="AB123" s="610"/>
      <c r="AC123" s="671"/>
      <c r="AD123" s="609" t="s">
        <v>11</v>
      </c>
      <c r="AE123" s="610"/>
      <c r="AF123" s="610"/>
      <c r="AG123" s="610"/>
      <c r="AH123" s="610"/>
      <c r="AI123" s="610"/>
      <c r="AJ123" s="610"/>
      <c r="AK123" s="610"/>
      <c r="AL123" s="610"/>
      <c r="AM123" s="611"/>
      <c r="AU123" s="102"/>
      <c r="AV123" s="102"/>
    </row>
    <row r="124" spans="1:48" s="96" customFormat="1" ht="27.75" customHeight="1" x14ac:dyDescent="0.4">
      <c r="D124" s="651" t="s">
        <v>298</v>
      </c>
      <c r="E124" s="652"/>
      <c r="F124" s="652"/>
      <c r="G124" s="652"/>
      <c r="H124" s="652"/>
      <c r="I124" s="653"/>
      <c r="J124" s="654"/>
      <c r="K124" s="652"/>
      <c r="L124" s="652"/>
      <c r="M124" s="652"/>
      <c r="N124" s="652"/>
      <c r="O124" s="652"/>
      <c r="P124" s="652"/>
      <c r="Q124" s="653"/>
      <c r="R124" s="655"/>
      <c r="S124" s="656"/>
      <c r="T124" s="656"/>
      <c r="U124" s="656"/>
      <c r="V124" s="656"/>
      <c r="W124" s="656"/>
      <c r="X124" s="656"/>
      <c r="Y124" s="656"/>
      <c r="Z124" s="657"/>
      <c r="AA124" s="658"/>
      <c r="AB124" s="659"/>
      <c r="AC124" s="660"/>
      <c r="AD124" s="661"/>
      <c r="AE124" s="662"/>
      <c r="AF124" s="662"/>
      <c r="AG124" s="662"/>
      <c r="AH124" s="662"/>
      <c r="AI124" s="662"/>
      <c r="AJ124" s="662"/>
      <c r="AK124" s="662"/>
      <c r="AL124" s="662"/>
      <c r="AM124" s="663"/>
      <c r="AU124" s="102"/>
      <c r="AV124" s="102"/>
    </row>
    <row r="125" spans="1:48" s="96" customFormat="1" ht="27.75" customHeight="1" x14ac:dyDescent="0.4">
      <c r="D125" s="688" t="s">
        <v>12</v>
      </c>
      <c r="E125" s="604"/>
      <c r="F125" s="604"/>
      <c r="G125" s="604"/>
      <c r="H125" s="604"/>
      <c r="I125" s="605"/>
      <c r="J125" s="603"/>
      <c r="K125" s="604"/>
      <c r="L125" s="604"/>
      <c r="M125" s="604"/>
      <c r="N125" s="604"/>
      <c r="O125" s="604"/>
      <c r="P125" s="604"/>
      <c r="Q125" s="605"/>
      <c r="R125" s="606"/>
      <c r="S125" s="607"/>
      <c r="T125" s="607"/>
      <c r="U125" s="607"/>
      <c r="V125" s="607"/>
      <c r="W125" s="607"/>
      <c r="X125" s="607"/>
      <c r="Y125" s="607"/>
      <c r="Z125" s="608"/>
      <c r="AA125" s="606"/>
      <c r="AB125" s="607"/>
      <c r="AC125" s="608"/>
      <c r="AD125" s="672"/>
      <c r="AE125" s="673"/>
      <c r="AF125" s="673"/>
      <c r="AG125" s="673"/>
      <c r="AH125" s="673"/>
      <c r="AI125" s="673"/>
      <c r="AJ125" s="673"/>
      <c r="AK125" s="673"/>
      <c r="AL125" s="673"/>
      <c r="AM125" s="674"/>
      <c r="AU125" s="102"/>
      <c r="AV125" s="102"/>
    </row>
    <row r="126" spans="1:48" s="96" customFormat="1" ht="27.75" customHeight="1" thickBot="1" x14ac:dyDescent="0.45">
      <c r="D126" s="675" t="s">
        <v>12</v>
      </c>
      <c r="E126" s="676"/>
      <c r="F126" s="676"/>
      <c r="G126" s="676"/>
      <c r="H126" s="676"/>
      <c r="I126" s="677"/>
      <c r="J126" s="678"/>
      <c r="K126" s="676"/>
      <c r="L126" s="676"/>
      <c r="M126" s="676"/>
      <c r="N126" s="676"/>
      <c r="O126" s="676"/>
      <c r="P126" s="676"/>
      <c r="Q126" s="677"/>
      <c r="R126" s="679"/>
      <c r="S126" s="680"/>
      <c r="T126" s="680"/>
      <c r="U126" s="680"/>
      <c r="V126" s="680"/>
      <c r="W126" s="680"/>
      <c r="X126" s="680"/>
      <c r="Y126" s="680"/>
      <c r="Z126" s="681"/>
      <c r="AA126" s="682"/>
      <c r="AB126" s="683"/>
      <c r="AC126" s="684"/>
      <c r="AD126" s="685"/>
      <c r="AE126" s="686"/>
      <c r="AF126" s="686"/>
      <c r="AG126" s="686"/>
      <c r="AH126" s="686"/>
      <c r="AI126" s="686"/>
      <c r="AJ126" s="686"/>
      <c r="AK126" s="686"/>
      <c r="AL126" s="686"/>
      <c r="AM126" s="687"/>
      <c r="AU126" s="102"/>
      <c r="AV126" s="102"/>
    </row>
    <row r="127" spans="1:48" s="96" customFormat="1" ht="15" customHeight="1" x14ac:dyDescent="0.4">
      <c r="AU127" s="102"/>
      <c r="AV127" s="102"/>
    </row>
    <row r="128" spans="1:48" s="96" customFormat="1" ht="27.75" customHeight="1" x14ac:dyDescent="0.4">
      <c r="A128" s="115"/>
      <c r="B128" s="599" t="str">
        <f>U12組合せ!$B$1</f>
        <v>ＪＦＡ　Ｕ-１２サッカーリーグ2021（in栃木） 宇都宮地区リーグ戦（前期）</v>
      </c>
      <c r="C128" s="599"/>
      <c r="D128" s="599"/>
      <c r="E128" s="599"/>
      <c r="F128" s="599"/>
      <c r="G128" s="599"/>
      <c r="H128" s="599"/>
      <c r="I128" s="599"/>
      <c r="J128" s="599"/>
      <c r="K128" s="599"/>
      <c r="L128" s="599"/>
      <c r="M128" s="599"/>
      <c r="N128" s="599"/>
      <c r="O128" s="599"/>
      <c r="P128" s="599"/>
      <c r="Q128" s="599"/>
      <c r="R128" s="599"/>
      <c r="S128" s="599"/>
      <c r="T128" s="599"/>
      <c r="U128" s="599"/>
      <c r="V128" s="599"/>
      <c r="W128" s="599"/>
      <c r="X128" s="599"/>
      <c r="Y128" s="599"/>
      <c r="Z128" s="599"/>
      <c r="AA128" s="599"/>
      <c r="AB128" s="599"/>
      <c r="AC128" s="612" t="str">
        <f>"【"&amp;(U12組合せ!$J$3)&amp;"】"</f>
        <v>【Ｄ ブロック】</v>
      </c>
      <c r="AD128" s="612"/>
      <c r="AE128" s="612"/>
      <c r="AF128" s="612"/>
      <c r="AG128" s="612"/>
      <c r="AH128" s="612"/>
      <c r="AI128" s="612"/>
      <c r="AJ128" s="612"/>
      <c r="AK128" s="602" t="str">
        <f>"第"&amp;(U12組合せ!$D$27)</f>
        <v>第２節</v>
      </c>
      <c r="AL128" s="602"/>
      <c r="AM128" s="602"/>
      <c r="AN128" s="602"/>
      <c r="AO128" s="602"/>
      <c r="AP128" s="597" t="s">
        <v>332</v>
      </c>
      <c r="AQ128" s="598"/>
      <c r="AU128" s="102"/>
      <c r="AV128" s="102"/>
    </row>
    <row r="129" spans="1:48" s="96" customFormat="1" ht="15" customHeight="1" x14ac:dyDescent="0.4">
      <c r="A129" s="115"/>
      <c r="B129" s="599"/>
      <c r="C129" s="599"/>
      <c r="D129" s="599"/>
      <c r="E129" s="599"/>
      <c r="F129" s="599"/>
      <c r="G129" s="599"/>
      <c r="H129" s="599"/>
      <c r="I129" s="599"/>
      <c r="J129" s="599"/>
      <c r="K129" s="599"/>
      <c r="L129" s="599"/>
      <c r="M129" s="599"/>
      <c r="N129" s="599"/>
      <c r="O129" s="599"/>
      <c r="P129" s="599"/>
      <c r="Q129" s="599"/>
      <c r="R129" s="599"/>
      <c r="S129" s="599"/>
      <c r="T129" s="599"/>
      <c r="U129" s="599"/>
      <c r="V129" s="599"/>
      <c r="W129" s="599"/>
      <c r="X129" s="599"/>
      <c r="Y129" s="599"/>
      <c r="Z129" s="599"/>
      <c r="AA129" s="599"/>
      <c r="AB129" s="599"/>
      <c r="AC129" s="601"/>
      <c r="AD129" s="601"/>
      <c r="AE129" s="601"/>
      <c r="AF129" s="601"/>
      <c r="AG129" s="601"/>
      <c r="AH129" s="601"/>
      <c r="AI129" s="601"/>
      <c r="AJ129" s="601"/>
      <c r="AK129" s="601"/>
      <c r="AL129" s="601"/>
      <c r="AM129" s="601"/>
      <c r="AN129" s="601"/>
      <c r="AO129" s="601"/>
      <c r="AP129" s="598"/>
      <c r="AQ129" s="598"/>
      <c r="AU129" s="102"/>
      <c r="AV129" s="102"/>
    </row>
    <row r="130" spans="1:48" s="96" customFormat="1" ht="29.25" customHeight="1" x14ac:dyDescent="0.4">
      <c r="C130" s="635" t="s">
        <v>1</v>
      </c>
      <c r="D130" s="635"/>
      <c r="E130" s="635"/>
      <c r="F130" s="635"/>
      <c r="G130" s="725" t="str">
        <f>U12対戦スケジュール!U38</f>
        <v>陽東小 AM</v>
      </c>
      <c r="H130" s="726"/>
      <c r="I130" s="726"/>
      <c r="J130" s="726"/>
      <c r="K130" s="726"/>
      <c r="L130" s="726"/>
      <c r="M130" s="726"/>
      <c r="N130" s="726"/>
      <c r="O130" s="727"/>
      <c r="P130" s="635" t="s">
        <v>0</v>
      </c>
      <c r="Q130" s="635"/>
      <c r="R130" s="635"/>
      <c r="S130" s="635"/>
      <c r="T130" s="725" t="str">
        <f>AG133</f>
        <v>陽東SSS</v>
      </c>
      <c r="U130" s="726"/>
      <c r="V130" s="726"/>
      <c r="W130" s="726"/>
      <c r="X130" s="726"/>
      <c r="Y130" s="726"/>
      <c r="Z130" s="726"/>
      <c r="AA130" s="726"/>
      <c r="AB130" s="727"/>
      <c r="AC130" s="635" t="s">
        <v>2</v>
      </c>
      <c r="AD130" s="635"/>
      <c r="AE130" s="635"/>
      <c r="AF130" s="635"/>
      <c r="AG130" s="618">
        <f>U12組合せ!B$27</f>
        <v>44310</v>
      </c>
      <c r="AH130" s="619"/>
      <c r="AI130" s="619"/>
      <c r="AJ130" s="619"/>
      <c r="AK130" s="619"/>
      <c r="AL130" s="619"/>
      <c r="AM130" s="620" t="str">
        <f>"（"&amp;TEXT(AG130,"aaa")&amp;"）"</f>
        <v>（土）</v>
      </c>
      <c r="AN130" s="620"/>
      <c r="AO130" s="621"/>
      <c r="AP130" s="116"/>
      <c r="AU130" s="102"/>
      <c r="AV130" s="102"/>
    </row>
    <row r="131" spans="1:48" s="96" customFormat="1" ht="17.25" customHeight="1" x14ac:dyDescent="0.4">
      <c r="C131" s="96" t="str">
        <f>U12組合せ!K30</f>
        <v>D258</v>
      </c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95"/>
      <c r="X131" s="95"/>
      <c r="Y131" s="95"/>
      <c r="Z131" s="95"/>
      <c r="AA131" s="95"/>
      <c r="AB131" s="95"/>
      <c r="AC131" s="95"/>
      <c r="AU131" s="102"/>
      <c r="AV131" s="102"/>
    </row>
    <row r="132" spans="1:48" s="96" customFormat="1" ht="30.75" customHeight="1" x14ac:dyDescent="0.4">
      <c r="C132" s="637">
        <v>1</v>
      </c>
      <c r="D132" s="637"/>
      <c r="E132" s="584" t="str">
        <f>VLOOKUP(C132,U12組合せ!B$10:K$19,9,TRUE)</f>
        <v>FCブロケード</v>
      </c>
      <c r="F132" s="584"/>
      <c r="G132" s="584"/>
      <c r="H132" s="584"/>
      <c r="I132" s="584"/>
      <c r="J132" s="584"/>
      <c r="K132" s="584"/>
      <c r="L132" s="584"/>
      <c r="M132" s="584"/>
      <c r="N132" s="584"/>
      <c r="O132" s="94"/>
      <c r="P132" s="94"/>
      <c r="Q132" s="637">
        <v>4</v>
      </c>
      <c r="R132" s="637"/>
      <c r="S132" s="584" t="str">
        <f>VLOOKUP(Q132,U12組合せ!B$10:K$19,9,TRUE)</f>
        <v>清原フューチャーズ</v>
      </c>
      <c r="T132" s="584"/>
      <c r="U132" s="584"/>
      <c r="V132" s="584"/>
      <c r="W132" s="584"/>
      <c r="X132" s="584"/>
      <c r="Y132" s="584"/>
      <c r="Z132" s="584"/>
      <c r="AA132" s="584"/>
      <c r="AB132" s="584"/>
      <c r="AC132" s="92"/>
      <c r="AD132" s="93"/>
      <c r="AE132" s="637">
        <v>7</v>
      </c>
      <c r="AF132" s="637"/>
      <c r="AG132" s="584" t="str">
        <f>VLOOKUP(AE132,U12組合せ!B$10:'U12組合せ'!K$19,9,TRUE)</f>
        <v>宝木キッカーズ</v>
      </c>
      <c r="AH132" s="584"/>
      <c r="AI132" s="584"/>
      <c r="AJ132" s="584"/>
      <c r="AK132" s="584"/>
      <c r="AL132" s="584"/>
      <c r="AM132" s="584"/>
      <c r="AN132" s="584"/>
      <c r="AO132" s="584"/>
      <c r="AP132" s="584"/>
      <c r="AR132" s="96">
        <f>140/2</f>
        <v>70</v>
      </c>
      <c r="AU132" s="102"/>
      <c r="AV132" s="102"/>
    </row>
    <row r="133" spans="1:48" s="96" customFormat="1" ht="30.75" customHeight="1" x14ac:dyDescent="0.4">
      <c r="C133" s="636">
        <v>2</v>
      </c>
      <c r="D133" s="636"/>
      <c r="E133" s="709" t="str">
        <f>VLOOKUP(C133,U12組合せ!B$10:K$19,9,TRUE)</f>
        <v>FCみらいV</v>
      </c>
      <c r="F133" s="709"/>
      <c r="G133" s="709"/>
      <c r="H133" s="709"/>
      <c r="I133" s="709"/>
      <c r="J133" s="709"/>
      <c r="K133" s="709"/>
      <c r="L133" s="709"/>
      <c r="M133" s="709"/>
      <c r="N133" s="709"/>
      <c r="O133" s="94"/>
      <c r="P133" s="94"/>
      <c r="Q133" s="636">
        <v>5</v>
      </c>
      <c r="R133" s="636"/>
      <c r="S133" s="709" t="str">
        <f>VLOOKUP(Q133,U12組合せ!B$10:K$19,9,TRUE)</f>
        <v>ウエストフットコムU11</v>
      </c>
      <c r="T133" s="709"/>
      <c r="U133" s="709"/>
      <c r="V133" s="709"/>
      <c r="W133" s="709"/>
      <c r="X133" s="709"/>
      <c r="Y133" s="709"/>
      <c r="Z133" s="709"/>
      <c r="AA133" s="709"/>
      <c r="AB133" s="709"/>
      <c r="AC133" s="92"/>
      <c r="AD133" s="139"/>
      <c r="AE133" s="636">
        <v>8</v>
      </c>
      <c r="AF133" s="636"/>
      <c r="AG133" s="709" t="str">
        <f>VLOOKUP(AE133,U12組合せ!B$10:'U12組合せ'!K$19,9,TRUE)</f>
        <v>陽東SSS</v>
      </c>
      <c r="AH133" s="709"/>
      <c r="AI133" s="709"/>
      <c r="AJ133" s="709"/>
      <c r="AK133" s="709"/>
      <c r="AL133" s="709"/>
      <c r="AM133" s="709"/>
      <c r="AN133" s="709"/>
      <c r="AO133" s="709"/>
      <c r="AP133" s="709"/>
      <c r="AR133" s="96">
        <v>40</v>
      </c>
      <c r="AU133" s="102"/>
      <c r="AV133" s="102"/>
    </row>
    <row r="134" spans="1:48" s="96" customFormat="1" ht="30.75" customHeight="1" x14ac:dyDescent="0.4">
      <c r="C134" s="637">
        <v>3</v>
      </c>
      <c r="D134" s="637"/>
      <c r="E134" s="584" t="str">
        <f>VLOOKUP(C134,U12組合せ!B$10:K$19,9,TRUE)</f>
        <v>宇大付属小SSS U11</v>
      </c>
      <c r="F134" s="584"/>
      <c r="G134" s="584"/>
      <c r="H134" s="584"/>
      <c r="I134" s="584"/>
      <c r="J134" s="584"/>
      <c r="K134" s="584"/>
      <c r="L134" s="584"/>
      <c r="M134" s="584"/>
      <c r="N134" s="584"/>
      <c r="O134" s="94"/>
      <c r="P134" s="94"/>
      <c r="Q134" s="637">
        <v>6</v>
      </c>
      <c r="R134" s="637"/>
      <c r="S134" s="584" t="str">
        <f>VLOOKUP(Q134,U12組合せ!B$10:K$19,9,TRUE)</f>
        <v>SUGAOプロミネンス</v>
      </c>
      <c r="T134" s="584"/>
      <c r="U134" s="584"/>
      <c r="V134" s="584"/>
      <c r="W134" s="584"/>
      <c r="X134" s="584"/>
      <c r="Y134" s="584"/>
      <c r="Z134" s="584"/>
      <c r="AA134" s="584"/>
      <c r="AB134" s="584"/>
      <c r="AC134" s="92"/>
      <c r="AD134" s="93"/>
      <c r="AE134" s="637">
        <v>9</v>
      </c>
      <c r="AF134" s="637"/>
      <c r="AG134" s="584" t="str">
        <f>VLOOKUP(AE134,U12組合せ!B$10:'U12組合せ'!K$19,9,TRUE)</f>
        <v>ジュベニール</v>
      </c>
      <c r="AH134" s="584"/>
      <c r="AI134" s="584"/>
      <c r="AJ134" s="584"/>
      <c r="AK134" s="584"/>
      <c r="AL134" s="584"/>
      <c r="AM134" s="584"/>
      <c r="AN134" s="584"/>
      <c r="AO134" s="584"/>
      <c r="AP134" s="584"/>
      <c r="AR134" s="96">
        <f>AR132-AR133</f>
        <v>30</v>
      </c>
      <c r="AU134" s="102"/>
      <c r="AV134" s="102"/>
    </row>
    <row r="135" spans="1:48" s="96" customFormat="1" ht="12" customHeight="1" x14ac:dyDescent="0.4">
      <c r="C135" s="121"/>
      <c r="D135" s="121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94"/>
      <c r="P135" s="94"/>
      <c r="Q135" s="123"/>
      <c r="R135" s="123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92"/>
      <c r="AD135" s="93"/>
      <c r="AE135" s="123"/>
      <c r="AF135" s="123"/>
      <c r="AG135" s="124"/>
      <c r="AH135" s="124"/>
      <c r="AI135" s="124"/>
      <c r="AJ135" s="124"/>
      <c r="AK135" s="124"/>
      <c r="AL135" s="124"/>
      <c r="AM135" s="124"/>
      <c r="AN135" s="124"/>
      <c r="AO135" s="124"/>
      <c r="AP135" s="124"/>
      <c r="AU135" s="102"/>
      <c r="AV135" s="102"/>
    </row>
    <row r="136" spans="1:48" s="96" customFormat="1" ht="12" customHeight="1" x14ac:dyDescent="0.4">
      <c r="B136" s="102"/>
      <c r="O136" s="102"/>
      <c r="P136" s="102"/>
      <c r="AC136" s="95"/>
      <c r="AD136" s="102"/>
      <c r="AE136" s="102"/>
      <c r="AF136" s="102"/>
      <c r="AG136" s="102"/>
      <c r="AU136" s="102"/>
      <c r="AV136" s="102"/>
    </row>
    <row r="137" spans="1:48" s="96" customFormat="1" ht="12" customHeight="1" x14ac:dyDescent="0.4">
      <c r="C137" s="117"/>
      <c r="D137" s="118"/>
      <c r="E137" s="118"/>
      <c r="F137" s="118"/>
      <c r="G137" s="118"/>
      <c r="H137" s="118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18"/>
      <c r="U137" s="102"/>
      <c r="V137" s="118"/>
      <c r="W137" s="102"/>
      <c r="X137" s="118"/>
      <c r="Y137" s="102"/>
      <c r="Z137" s="118"/>
      <c r="AA137" s="102"/>
      <c r="AB137" s="118"/>
      <c r="AC137" s="118"/>
      <c r="AU137" s="102"/>
      <c r="AV137" s="102"/>
    </row>
    <row r="138" spans="1:48" s="96" customFormat="1" ht="21.75" customHeight="1" x14ac:dyDescent="0.4">
      <c r="B138" s="118" t="str">
        <f ca="1">IF(B140="①","【監督会議 8：20～】","【監督会議 12：50～】")</f>
        <v>【監督会議 8：20～】</v>
      </c>
      <c r="I138" s="96" t="s">
        <v>330</v>
      </c>
      <c r="AU138" s="102"/>
      <c r="AV138" s="102"/>
    </row>
    <row r="139" spans="1:48" s="96" customFormat="1" ht="19.5" customHeight="1" x14ac:dyDescent="0.4">
      <c r="B139" s="97"/>
      <c r="C139" s="711" t="s">
        <v>3</v>
      </c>
      <c r="D139" s="711"/>
      <c r="E139" s="711"/>
      <c r="F139" s="712" t="s">
        <v>4</v>
      </c>
      <c r="G139" s="712"/>
      <c r="H139" s="712"/>
      <c r="I139" s="712"/>
      <c r="J139" s="711" t="s">
        <v>5</v>
      </c>
      <c r="K139" s="713"/>
      <c r="L139" s="713"/>
      <c r="M139" s="713"/>
      <c r="N139" s="713"/>
      <c r="O139" s="713"/>
      <c r="P139" s="713"/>
      <c r="Q139" s="711" t="s">
        <v>32</v>
      </c>
      <c r="R139" s="711"/>
      <c r="S139" s="711"/>
      <c r="T139" s="711"/>
      <c r="U139" s="711"/>
      <c r="V139" s="711"/>
      <c r="W139" s="711"/>
      <c r="X139" s="711" t="s">
        <v>5</v>
      </c>
      <c r="Y139" s="713"/>
      <c r="Z139" s="713"/>
      <c r="AA139" s="713"/>
      <c r="AB139" s="713"/>
      <c r="AC139" s="713"/>
      <c r="AD139" s="713"/>
      <c r="AE139" s="712" t="s">
        <v>4</v>
      </c>
      <c r="AF139" s="712"/>
      <c r="AG139" s="712"/>
      <c r="AH139" s="712"/>
      <c r="AI139" s="711" t="s">
        <v>6</v>
      </c>
      <c r="AJ139" s="711"/>
      <c r="AK139" s="713"/>
      <c r="AL139" s="713"/>
      <c r="AM139" s="713"/>
      <c r="AN139" s="713"/>
      <c r="AO139" s="713"/>
      <c r="AP139" s="713"/>
      <c r="AU139" s="102"/>
      <c r="AV139" s="102"/>
    </row>
    <row r="140" spans="1:48" s="96" customFormat="1" ht="19.5" customHeight="1" x14ac:dyDescent="0.4">
      <c r="B140" s="644" t="str">
        <f ca="1">DBCS(INDIRECT("U12対戦スケジュール!S"&amp;(ROW())/2-AR$134))</f>
        <v>①</v>
      </c>
      <c r="C140" s="645">
        <f ca="1">INDIRECT("U12対戦スケジュール!T"&amp;(ROW())/2-AR$134)</f>
        <v>0.375</v>
      </c>
      <c r="D140" s="646"/>
      <c r="E140" s="647"/>
      <c r="F140" s="583"/>
      <c r="G140" s="583"/>
      <c r="H140" s="583"/>
      <c r="I140" s="583"/>
      <c r="J140" s="746" t="str">
        <f ca="1">VLOOKUP(AR140,U12組合せ!B$10:K$19,9,TRUE)</f>
        <v>FCみらいV</v>
      </c>
      <c r="K140" s="747"/>
      <c r="L140" s="747"/>
      <c r="M140" s="747"/>
      <c r="N140" s="747"/>
      <c r="O140" s="747"/>
      <c r="P140" s="747"/>
      <c r="Q140" s="628">
        <f>IF(OR(S140="",S141=""),"",S140+S141)</f>
        <v>2</v>
      </c>
      <c r="R140" s="630"/>
      <c r="S140" s="100">
        <v>1</v>
      </c>
      <c r="T140" s="101" t="s">
        <v>7</v>
      </c>
      <c r="U140" s="100">
        <v>0</v>
      </c>
      <c r="V140" s="628">
        <f>IF(OR(U140="",U141=""),"",U140+U141)</f>
        <v>0</v>
      </c>
      <c r="W140" s="630"/>
      <c r="X140" s="746" t="str">
        <f ca="1">VLOOKUP(AS140,U12組合せ!B$10:K$19,9,TRUE)</f>
        <v>ウエストフットコムU11</v>
      </c>
      <c r="Y140" s="747"/>
      <c r="Z140" s="747"/>
      <c r="AA140" s="747"/>
      <c r="AB140" s="747"/>
      <c r="AC140" s="747"/>
      <c r="AD140" s="747"/>
      <c r="AE140" s="583"/>
      <c r="AF140" s="583"/>
      <c r="AG140" s="583"/>
      <c r="AH140" s="583"/>
      <c r="AI140" s="758" t="str">
        <f ca="1">DBCS(INDIRECT("U12対戦スケジュール!X"&amp;(ROW())/2-AR$134))</f>
        <v>８／２／５／８</v>
      </c>
      <c r="AJ140" s="759"/>
      <c r="AK140" s="759"/>
      <c r="AL140" s="759"/>
      <c r="AM140" s="759"/>
      <c r="AN140" s="759"/>
      <c r="AO140" s="759"/>
      <c r="AP140" s="760"/>
      <c r="AR140" s="119">
        <f ca="1">INDIRECT("U12対戦スケジュール!U"&amp;(ROW())/2-AR$134)</f>
        <v>2</v>
      </c>
      <c r="AS140" s="119">
        <f ca="1">INDIRECT("U12対戦スケジュール!W"&amp;(ROW())/2-AR$134)</f>
        <v>5</v>
      </c>
      <c r="AU140" s="102"/>
      <c r="AV140" s="102"/>
    </row>
    <row r="141" spans="1:48" s="96" customFormat="1" ht="19.5" customHeight="1" x14ac:dyDescent="0.4">
      <c r="B141" s="644"/>
      <c r="C141" s="648"/>
      <c r="D141" s="649"/>
      <c r="E141" s="650"/>
      <c r="F141" s="583"/>
      <c r="G141" s="583"/>
      <c r="H141" s="583"/>
      <c r="I141" s="583"/>
      <c r="J141" s="747"/>
      <c r="K141" s="747"/>
      <c r="L141" s="747"/>
      <c r="M141" s="747"/>
      <c r="N141" s="747"/>
      <c r="O141" s="747"/>
      <c r="P141" s="747"/>
      <c r="Q141" s="631"/>
      <c r="R141" s="633"/>
      <c r="S141" s="100">
        <v>1</v>
      </c>
      <c r="T141" s="101" t="s">
        <v>7</v>
      </c>
      <c r="U141" s="100">
        <v>0</v>
      </c>
      <c r="V141" s="631"/>
      <c r="W141" s="633"/>
      <c r="X141" s="747"/>
      <c r="Y141" s="747"/>
      <c r="Z141" s="747"/>
      <c r="AA141" s="747"/>
      <c r="AB141" s="747"/>
      <c r="AC141" s="747"/>
      <c r="AD141" s="747"/>
      <c r="AE141" s="583"/>
      <c r="AF141" s="583"/>
      <c r="AG141" s="583"/>
      <c r="AH141" s="583"/>
      <c r="AI141" s="761"/>
      <c r="AJ141" s="762"/>
      <c r="AK141" s="762"/>
      <c r="AL141" s="762"/>
      <c r="AM141" s="762"/>
      <c r="AN141" s="762"/>
      <c r="AO141" s="762"/>
      <c r="AP141" s="763"/>
      <c r="AR141" s="119"/>
      <c r="AS141" s="119"/>
      <c r="AU141" s="102"/>
      <c r="AV141" s="102"/>
    </row>
    <row r="142" spans="1:48" s="96" customFormat="1" ht="19.5" customHeight="1" x14ac:dyDescent="0.4">
      <c r="B142" s="644" t="str">
        <f ca="1">DBCS(INDIRECT("U12対戦スケジュール!S"&amp;(ROW())/2-AR$134))</f>
        <v>②</v>
      </c>
      <c r="C142" s="645">
        <f ca="1">INDIRECT("U12対戦スケジュール!T"&amp;(ROW())/2-AR$134)</f>
        <v>0.41699999999999998</v>
      </c>
      <c r="D142" s="646"/>
      <c r="E142" s="647"/>
      <c r="F142" s="583"/>
      <c r="G142" s="583"/>
      <c r="H142" s="583"/>
      <c r="I142" s="583"/>
      <c r="J142" s="746" t="str">
        <f ca="1">VLOOKUP(AR142,U12組合せ!B$10:K$19,9,TRUE)</f>
        <v>陽東SSS</v>
      </c>
      <c r="K142" s="747"/>
      <c r="L142" s="747"/>
      <c r="M142" s="747"/>
      <c r="N142" s="747"/>
      <c r="O142" s="747"/>
      <c r="P142" s="747"/>
      <c r="Q142" s="634">
        <f>IF(OR(S142="",S143=""),"",S142+S143)</f>
        <v>0</v>
      </c>
      <c r="R142" s="634"/>
      <c r="S142" s="100">
        <v>0</v>
      </c>
      <c r="T142" s="101" t="s">
        <v>7</v>
      </c>
      <c r="U142" s="100">
        <v>0</v>
      </c>
      <c r="V142" s="634">
        <f>IF(OR(U142="",U143=""),"",U142+U143)</f>
        <v>0</v>
      </c>
      <c r="W142" s="634"/>
      <c r="X142" s="746" t="str">
        <f ca="1">VLOOKUP(AS142,U12組合せ!B$10:K$19,9,TRUE)</f>
        <v>ウエストフットコムU11</v>
      </c>
      <c r="Y142" s="747"/>
      <c r="Z142" s="747"/>
      <c r="AA142" s="747"/>
      <c r="AB142" s="747"/>
      <c r="AC142" s="747"/>
      <c r="AD142" s="747"/>
      <c r="AE142" s="583"/>
      <c r="AF142" s="583"/>
      <c r="AG142" s="583"/>
      <c r="AH142" s="583"/>
      <c r="AI142" s="758" t="str">
        <f ca="1">DBCS(INDIRECT("U12対戦スケジュール!X"&amp;(ROW())/2-AR$134))</f>
        <v>２／５／８／２</v>
      </c>
      <c r="AJ142" s="759"/>
      <c r="AK142" s="759"/>
      <c r="AL142" s="759"/>
      <c r="AM142" s="759"/>
      <c r="AN142" s="759"/>
      <c r="AO142" s="759"/>
      <c r="AP142" s="760"/>
      <c r="AR142" s="119">
        <f ca="1">INDIRECT("U12対戦スケジュール!U"&amp;(ROW())/2-AR$134)</f>
        <v>8</v>
      </c>
      <c r="AS142" s="119">
        <f ca="1">INDIRECT("U12対戦スケジュール!W"&amp;(ROW())/2-AR$134)</f>
        <v>5</v>
      </c>
      <c r="AU142" s="102"/>
      <c r="AV142" s="102"/>
    </row>
    <row r="143" spans="1:48" s="96" customFormat="1" ht="19.5" customHeight="1" x14ac:dyDescent="0.4">
      <c r="B143" s="644"/>
      <c r="C143" s="648"/>
      <c r="D143" s="649"/>
      <c r="E143" s="650"/>
      <c r="F143" s="583"/>
      <c r="G143" s="583"/>
      <c r="H143" s="583"/>
      <c r="I143" s="583"/>
      <c r="J143" s="747"/>
      <c r="K143" s="747"/>
      <c r="L143" s="747"/>
      <c r="M143" s="747"/>
      <c r="N143" s="747"/>
      <c r="O143" s="747"/>
      <c r="P143" s="747"/>
      <c r="Q143" s="634"/>
      <c r="R143" s="634"/>
      <c r="S143" s="100">
        <v>0</v>
      </c>
      <c r="T143" s="101" t="s">
        <v>7</v>
      </c>
      <c r="U143" s="100">
        <v>0</v>
      </c>
      <c r="V143" s="634"/>
      <c r="W143" s="634"/>
      <c r="X143" s="747"/>
      <c r="Y143" s="747"/>
      <c r="Z143" s="747"/>
      <c r="AA143" s="747"/>
      <c r="AB143" s="747"/>
      <c r="AC143" s="747"/>
      <c r="AD143" s="747"/>
      <c r="AE143" s="583"/>
      <c r="AF143" s="583"/>
      <c r="AG143" s="583"/>
      <c r="AH143" s="583"/>
      <c r="AI143" s="761"/>
      <c r="AJ143" s="762"/>
      <c r="AK143" s="762"/>
      <c r="AL143" s="762"/>
      <c r="AM143" s="762"/>
      <c r="AN143" s="762"/>
      <c r="AO143" s="762"/>
      <c r="AP143" s="763"/>
      <c r="AR143" s="119"/>
      <c r="AS143" s="119"/>
      <c r="AU143" s="102"/>
      <c r="AV143" s="102"/>
    </row>
    <row r="144" spans="1:48" s="96" customFormat="1" ht="19.5" customHeight="1" x14ac:dyDescent="0.4">
      <c r="B144" s="644" t="str">
        <f ca="1">DBCS(INDIRECT("U12対戦スケジュール!S"&amp;(ROW())/2-AR$134))</f>
        <v>③</v>
      </c>
      <c r="C144" s="645">
        <f ca="1">INDIRECT("U12対戦スケジュール!T"&amp;(ROW())/2-AR$134)</f>
        <v>0.45899999999999996</v>
      </c>
      <c r="D144" s="646"/>
      <c r="E144" s="647"/>
      <c r="F144" s="583"/>
      <c r="G144" s="583"/>
      <c r="H144" s="583"/>
      <c r="I144" s="583"/>
      <c r="J144" s="746" t="str">
        <f ca="1">VLOOKUP(AR144,U12組合せ!B$10:K$19,9,TRUE)</f>
        <v>陽東SSS</v>
      </c>
      <c r="K144" s="747"/>
      <c r="L144" s="747"/>
      <c r="M144" s="747"/>
      <c r="N144" s="747"/>
      <c r="O144" s="747"/>
      <c r="P144" s="747"/>
      <c r="Q144" s="634">
        <f>IF(OR(S144="",S145=""),"",S144+S145)</f>
        <v>1</v>
      </c>
      <c r="R144" s="634"/>
      <c r="S144" s="100">
        <v>0</v>
      </c>
      <c r="T144" s="101" t="s">
        <v>7</v>
      </c>
      <c r="U144" s="100">
        <v>0</v>
      </c>
      <c r="V144" s="634">
        <f>IF(OR(U144="",U145=""),"",U144+U145)</f>
        <v>0</v>
      </c>
      <c r="W144" s="634"/>
      <c r="X144" s="746" t="str">
        <f ca="1">VLOOKUP(AS144,U12組合せ!B$10:K$19,9,TRUE)</f>
        <v>FCみらいV</v>
      </c>
      <c r="Y144" s="747"/>
      <c r="Z144" s="747"/>
      <c r="AA144" s="747"/>
      <c r="AB144" s="747"/>
      <c r="AC144" s="747"/>
      <c r="AD144" s="747"/>
      <c r="AE144" s="583"/>
      <c r="AF144" s="583"/>
      <c r="AG144" s="583"/>
      <c r="AH144" s="583"/>
      <c r="AI144" s="758" t="str">
        <f ca="1">DBCS(INDIRECT("U12対戦スケジュール!X"&amp;(ROW())/2-AR$134))</f>
        <v>５／８／２／５</v>
      </c>
      <c r="AJ144" s="759"/>
      <c r="AK144" s="759"/>
      <c r="AL144" s="759"/>
      <c r="AM144" s="759"/>
      <c r="AN144" s="759"/>
      <c r="AO144" s="759"/>
      <c r="AP144" s="760"/>
      <c r="AR144" s="119">
        <f ca="1">INDIRECT("U12対戦スケジュール!U"&amp;(ROW())/2-AR$134)</f>
        <v>8</v>
      </c>
      <c r="AS144" s="119">
        <f ca="1">INDIRECT("U12対戦スケジュール!W"&amp;(ROW())/2-AR$134)</f>
        <v>2</v>
      </c>
      <c r="AU144" s="102"/>
      <c r="AV144" s="102"/>
    </row>
    <row r="145" spans="1:48" s="96" customFormat="1" ht="19.5" customHeight="1" x14ac:dyDescent="0.4">
      <c r="B145" s="644"/>
      <c r="C145" s="648"/>
      <c r="D145" s="649"/>
      <c r="E145" s="650"/>
      <c r="F145" s="583"/>
      <c r="G145" s="583"/>
      <c r="H145" s="583"/>
      <c r="I145" s="583"/>
      <c r="J145" s="747"/>
      <c r="K145" s="747"/>
      <c r="L145" s="747"/>
      <c r="M145" s="747"/>
      <c r="N145" s="747"/>
      <c r="O145" s="747"/>
      <c r="P145" s="747"/>
      <c r="Q145" s="634"/>
      <c r="R145" s="634"/>
      <c r="S145" s="100">
        <v>1</v>
      </c>
      <c r="T145" s="101" t="s">
        <v>7</v>
      </c>
      <c r="U145" s="100">
        <v>0</v>
      </c>
      <c r="V145" s="634"/>
      <c r="W145" s="634"/>
      <c r="X145" s="747"/>
      <c r="Y145" s="747"/>
      <c r="Z145" s="747"/>
      <c r="AA145" s="747"/>
      <c r="AB145" s="747"/>
      <c r="AC145" s="747"/>
      <c r="AD145" s="747"/>
      <c r="AE145" s="583"/>
      <c r="AF145" s="583"/>
      <c r="AG145" s="583"/>
      <c r="AH145" s="583"/>
      <c r="AI145" s="761"/>
      <c r="AJ145" s="762"/>
      <c r="AK145" s="762"/>
      <c r="AL145" s="762"/>
      <c r="AM145" s="762"/>
      <c r="AN145" s="762"/>
      <c r="AO145" s="762"/>
      <c r="AP145" s="763"/>
      <c r="AR145" s="119"/>
      <c r="AS145" s="119"/>
      <c r="AU145" s="102"/>
      <c r="AV145" s="102"/>
    </row>
    <row r="146" spans="1:48" s="96" customFormat="1" ht="19.5" customHeight="1" x14ac:dyDescent="0.4">
      <c r="B146" s="644" t="str">
        <f ca="1">DBCS(INDIRECT("U12対戦スケジュール!S"&amp;(ROW())/2-AR$134))</f>
        <v/>
      </c>
      <c r="C146" s="739"/>
      <c r="D146" s="740"/>
      <c r="E146" s="741"/>
      <c r="F146" s="704"/>
      <c r="G146" s="704"/>
      <c r="H146" s="704"/>
      <c r="I146" s="704"/>
      <c r="J146" s="701"/>
      <c r="K146" s="702"/>
      <c r="L146" s="702"/>
      <c r="M146" s="702"/>
      <c r="N146" s="702"/>
      <c r="O146" s="702"/>
      <c r="P146" s="702"/>
      <c r="Q146" s="705"/>
      <c r="R146" s="705"/>
      <c r="S146" s="109"/>
      <c r="T146" s="110"/>
      <c r="U146" s="109"/>
      <c r="V146" s="705"/>
      <c r="W146" s="705"/>
      <c r="X146" s="701"/>
      <c r="Y146" s="702"/>
      <c r="Z146" s="702"/>
      <c r="AA146" s="702"/>
      <c r="AB146" s="702"/>
      <c r="AC146" s="702"/>
      <c r="AD146" s="702"/>
      <c r="AE146" s="704"/>
      <c r="AF146" s="704"/>
      <c r="AG146" s="704"/>
      <c r="AH146" s="704"/>
      <c r="AI146" s="706"/>
      <c r="AJ146" s="707"/>
      <c r="AK146" s="707"/>
      <c r="AL146" s="707"/>
      <c r="AM146" s="707"/>
      <c r="AN146" s="707"/>
      <c r="AO146" s="707"/>
      <c r="AP146" s="707"/>
      <c r="AR146" s="119"/>
      <c r="AS146" s="119"/>
      <c r="AU146" s="102"/>
      <c r="AV146" s="102"/>
    </row>
    <row r="147" spans="1:48" s="96" customFormat="1" ht="19.5" customHeight="1" x14ac:dyDescent="0.4">
      <c r="B147" s="644"/>
      <c r="C147" s="648"/>
      <c r="D147" s="649"/>
      <c r="E147" s="650"/>
      <c r="F147" s="583"/>
      <c r="G147" s="583"/>
      <c r="H147" s="583"/>
      <c r="I147" s="583"/>
      <c r="J147" s="703"/>
      <c r="K147" s="703"/>
      <c r="L147" s="703"/>
      <c r="M147" s="703"/>
      <c r="N147" s="703"/>
      <c r="O147" s="703"/>
      <c r="P147" s="703"/>
      <c r="Q147" s="634"/>
      <c r="R147" s="634"/>
      <c r="S147" s="100"/>
      <c r="T147" s="101"/>
      <c r="U147" s="100"/>
      <c r="V147" s="634"/>
      <c r="W147" s="634"/>
      <c r="X147" s="703"/>
      <c r="Y147" s="703"/>
      <c r="Z147" s="703"/>
      <c r="AA147" s="703"/>
      <c r="AB147" s="703"/>
      <c r="AC147" s="703"/>
      <c r="AD147" s="703"/>
      <c r="AE147" s="583"/>
      <c r="AF147" s="583"/>
      <c r="AG147" s="583"/>
      <c r="AH147" s="583"/>
      <c r="AI147" s="708"/>
      <c r="AJ147" s="708"/>
      <c r="AK147" s="708"/>
      <c r="AL147" s="708"/>
      <c r="AM147" s="708"/>
      <c r="AN147" s="708"/>
      <c r="AO147" s="708"/>
      <c r="AP147" s="708"/>
      <c r="AR147" s="119"/>
      <c r="AS147" s="119"/>
      <c r="AU147" s="102"/>
      <c r="AV147" s="102"/>
    </row>
    <row r="148" spans="1:48" s="96" customFormat="1" ht="19.5" customHeight="1" x14ac:dyDescent="0.4">
      <c r="B148" s="585"/>
      <c r="C148" s="587"/>
      <c r="D148" s="588"/>
      <c r="E148" s="589"/>
      <c r="F148" s="622"/>
      <c r="G148" s="623"/>
      <c r="H148" s="623"/>
      <c r="I148" s="624"/>
      <c r="J148" s="689"/>
      <c r="K148" s="690"/>
      <c r="L148" s="690"/>
      <c r="M148" s="690"/>
      <c r="N148" s="690"/>
      <c r="O148" s="690"/>
      <c r="P148" s="691"/>
      <c r="Q148" s="628"/>
      <c r="R148" s="630"/>
      <c r="S148" s="100"/>
      <c r="T148" s="101"/>
      <c r="U148" s="100"/>
      <c r="V148" s="628"/>
      <c r="W148" s="630"/>
      <c r="X148" s="695"/>
      <c r="Y148" s="696"/>
      <c r="Z148" s="696"/>
      <c r="AA148" s="696"/>
      <c r="AB148" s="696"/>
      <c r="AC148" s="696"/>
      <c r="AD148" s="697"/>
      <c r="AE148" s="622"/>
      <c r="AF148" s="623"/>
      <c r="AG148" s="623"/>
      <c r="AH148" s="624"/>
      <c r="AI148" s="628"/>
      <c r="AJ148" s="629"/>
      <c r="AK148" s="629"/>
      <c r="AL148" s="629"/>
      <c r="AM148" s="629"/>
      <c r="AN148" s="629"/>
      <c r="AO148" s="629"/>
      <c r="AP148" s="630"/>
      <c r="AU148" s="102"/>
      <c r="AV148" s="102"/>
    </row>
    <row r="149" spans="1:48" s="96" customFormat="1" ht="19.5" customHeight="1" x14ac:dyDescent="0.4">
      <c r="B149" s="586"/>
      <c r="C149" s="590"/>
      <c r="D149" s="591"/>
      <c r="E149" s="592"/>
      <c r="F149" s="625"/>
      <c r="G149" s="626"/>
      <c r="H149" s="626"/>
      <c r="I149" s="627"/>
      <c r="J149" s="692"/>
      <c r="K149" s="693"/>
      <c r="L149" s="693"/>
      <c r="M149" s="693"/>
      <c r="N149" s="693"/>
      <c r="O149" s="693"/>
      <c r="P149" s="694"/>
      <c r="Q149" s="631"/>
      <c r="R149" s="633"/>
      <c r="S149" s="100"/>
      <c r="T149" s="101"/>
      <c r="U149" s="100"/>
      <c r="V149" s="631"/>
      <c r="W149" s="633"/>
      <c r="X149" s="698"/>
      <c r="Y149" s="699"/>
      <c r="Z149" s="699"/>
      <c r="AA149" s="699"/>
      <c r="AB149" s="699"/>
      <c r="AC149" s="699"/>
      <c r="AD149" s="700"/>
      <c r="AE149" s="625"/>
      <c r="AF149" s="626"/>
      <c r="AG149" s="626"/>
      <c r="AH149" s="627"/>
      <c r="AI149" s="631"/>
      <c r="AJ149" s="632"/>
      <c r="AK149" s="632"/>
      <c r="AL149" s="632"/>
      <c r="AM149" s="632"/>
      <c r="AN149" s="632"/>
      <c r="AO149" s="632"/>
      <c r="AP149" s="633"/>
      <c r="AU149" s="102"/>
      <c r="AV149" s="102"/>
    </row>
    <row r="150" spans="1:48" s="96" customFormat="1" ht="19.5" customHeight="1" x14ac:dyDescent="0.4">
      <c r="B150" s="585"/>
      <c r="C150" s="587"/>
      <c r="D150" s="588"/>
      <c r="E150" s="589"/>
      <c r="F150" s="622"/>
      <c r="G150" s="623"/>
      <c r="H150" s="623"/>
      <c r="I150" s="624"/>
      <c r="J150" s="689"/>
      <c r="K150" s="690"/>
      <c r="L150" s="690"/>
      <c r="M150" s="690"/>
      <c r="N150" s="690"/>
      <c r="O150" s="690"/>
      <c r="P150" s="691"/>
      <c r="Q150" s="628"/>
      <c r="R150" s="630"/>
      <c r="S150" s="100"/>
      <c r="T150" s="101"/>
      <c r="U150" s="100"/>
      <c r="V150" s="628"/>
      <c r="W150" s="630"/>
      <c r="X150" s="695"/>
      <c r="Y150" s="696"/>
      <c r="Z150" s="696"/>
      <c r="AA150" s="696"/>
      <c r="AB150" s="696"/>
      <c r="AC150" s="696"/>
      <c r="AD150" s="697"/>
      <c r="AE150" s="622"/>
      <c r="AF150" s="623"/>
      <c r="AG150" s="623"/>
      <c r="AH150" s="624"/>
      <c r="AI150" s="628"/>
      <c r="AJ150" s="629"/>
      <c r="AK150" s="629"/>
      <c r="AL150" s="629"/>
      <c r="AM150" s="629"/>
      <c r="AN150" s="629"/>
      <c r="AO150" s="629"/>
      <c r="AP150" s="630"/>
      <c r="AU150" s="102"/>
      <c r="AV150" s="102"/>
    </row>
    <row r="151" spans="1:48" s="96" customFormat="1" ht="19.5" customHeight="1" x14ac:dyDescent="0.4">
      <c r="B151" s="586"/>
      <c r="C151" s="590"/>
      <c r="D151" s="591"/>
      <c r="E151" s="592"/>
      <c r="F151" s="625"/>
      <c r="G151" s="626"/>
      <c r="H151" s="626"/>
      <c r="I151" s="627"/>
      <c r="J151" s="692"/>
      <c r="K151" s="693"/>
      <c r="L151" s="693"/>
      <c r="M151" s="693"/>
      <c r="N151" s="693"/>
      <c r="O151" s="693"/>
      <c r="P151" s="694"/>
      <c r="Q151" s="631"/>
      <c r="R151" s="633"/>
      <c r="S151" s="100"/>
      <c r="T151" s="101"/>
      <c r="U151" s="100"/>
      <c r="V151" s="631"/>
      <c r="W151" s="633"/>
      <c r="X151" s="698"/>
      <c r="Y151" s="699"/>
      <c r="Z151" s="699"/>
      <c r="AA151" s="699"/>
      <c r="AB151" s="699"/>
      <c r="AC151" s="699"/>
      <c r="AD151" s="700"/>
      <c r="AE151" s="625"/>
      <c r="AF151" s="626"/>
      <c r="AG151" s="626"/>
      <c r="AH151" s="627"/>
      <c r="AI151" s="631"/>
      <c r="AJ151" s="632"/>
      <c r="AK151" s="632"/>
      <c r="AL151" s="632"/>
      <c r="AM151" s="632"/>
      <c r="AN151" s="632"/>
      <c r="AO151" s="632"/>
      <c r="AP151" s="633"/>
      <c r="AU151" s="102"/>
      <c r="AV151" s="102"/>
    </row>
    <row r="152" spans="1:48" s="96" customFormat="1" ht="16.5" x14ac:dyDescent="0.4">
      <c r="B152" s="585"/>
      <c r="C152" s="587"/>
      <c r="D152" s="588"/>
      <c r="E152" s="589"/>
      <c r="F152" s="622"/>
      <c r="G152" s="623"/>
      <c r="H152" s="623"/>
      <c r="I152" s="624"/>
      <c r="J152" s="689"/>
      <c r="K152" s="690"/>
      <c r="L152" s="690"/>
      <c r="M152" s="690"/>
      <c r="N152" s="690"/>
      <c r="O152" s="690"/>
      <c r="P152" s="691"/>
      <c r="Q152" s="628"/>
      <c r="R152" s="630"/>
      <c r="S152" s="100"/>
      <c r="T152" s="101"/>
      <c r="U152" s="100"/>
      <c r="V152" s="628"/>
      <c r="W152" s="630"/>
      <c r="X152" s="695"/>
      <c r="Y152" s="696"/>
      <c r="Z152" s="696"/>
      <c r="AA152" s="696"/>
      <c r="AB152" s="696"/>
      <c r="AC152" s="696"/>
      <c r="AD152" s="697"/>
      <c r="AE152" s="622"/>
      <c r="AF152" s="623"/>
      <c r="AG152" s="623"/>
      <c r="AH152" s="624"/>
      <c r="AI152" s="628"/>
      <c r="AJ152" s="629"/>
      <c r="AK152" s="629"/>
      <c r="AL152" s="629"/>
      <c r="AM152" s="629"/>
      <c r="AN152" s="629"/>
      <c r="AO152" s="629"/>
      <c r="AP152" s="630"/>
      <c r="AU152" s="102"/>
      <c r="AV152" s="102"/>
    </row>
    <row r="153" spans="1:48" s="96" customFormat="1" ht="16.5" x14ac:dyDescent="0.4">
      <c r="B153" s="586"/>
      <c r="C153" s="590"/>
      <c r="D153" s="591"/>
      <c r="E153" s="592"/>
      <c r="F153" s="625"/>
      <c r="G153" s="626"/>
      <c r="H153" s="626"/>
      <c r="I153" s="627"/>
      <c r="J153" s="692"/>
      <c r="K153" s="693"/>
      <c r="L153" s="693"/>
      <c r="M153" s="693"/>
      <c r="N153" s="693"/>
      <c r="O153" s="693"/>
      <c r="P153" s="694"/>
      <c r="Q153" s="631"/>
      <c r="R153" s="633"/>
      <c r="S153" s="100"/>
      <c r="T153" s="101"/>
      <c r="U153" s="100"/>
      <c r="V153" s="631"/>
      <c r="W153" s="633"/>
      <c r="X153" s="698"/>
      <c r="Y153" s="699"/>
      <c r="Z153" s="699"/>
      <c r="AA153" s="699"/>
      <c r="AB153" s="699"/>
      <c r="AC153" s="699"/>
      <c r="AD153" s="700"/>
      <c r="AE153" s="625"/>
      <c r="AF153" s="626"/>
      <c r="AG153" s="626"/>
      <c r="AH153" s="627"/>
      <c r="AI153" s="631"/>
      <c r="AJ153" s="632"/>
      <c r="AK153" s="632"/>
      <c r="AL153" s="632"/>
      <c r="AM153" s="632"/>
      <c r="AN153" s="632"/>
      <c r="AO153" s="632"/>
      <c r="AP153" s="633"/>
      <c r="AU153" s="102"/>
      <c r="AV153" s="102"/>
    </row>
    <row r="154" spans="1:48" s="96" customFormat="1" ht="20.25" thickBot="1" x14ac:dyDescent="0.45">
      <c r="A154" s="102"/>
      <c r="B154" s="103"/>
      <c r="C154" s="104"/>
      <c r="D154" s="104"/>
      <c r="E154" s="104"/>
      <c r="F154" s="103"/>
      <c r="G154" s="103"/>
      <c r="H154" s="103"/>
      <c r="I154" s="103"/>
      <c r="J154" s="103"/>
      <c r="K154" s="105"/>
      <c r="L154" s="105"/>
      <c r="M154" s="106"/>
      <c r="N154" s="107"/>
      <c r="O154" s="106"/>
      <c r="P154" s="105"/>
      <c r="Q154" s="105"/>
      <c r="R154" s="103"/>
      <c r="S154" s="103"/>
      <c r="T154" s="103"/>
      <c r="U154" s="103"/>
      <c r="V154" s="103"/>
      <c r="W154" s="108"/>
      <c r="X154" s="108"/>
      <c r="Y154" s="108"/>
      <c r="Z154" s="108"/>
      <c r="AA154" s="108"/>
      <c r="AB154" s="108"/>
      <c r="AC154" s="102"/>
      <c r="AU154" s="102"/>
      <c r="AV154" s="102"/>
    </row>
    <row r="155" spans="1:48" s="96" customFormat="1" ht="20.25" thickBot="1" x14ac:dyDescent="0.45">
      <c r="D155" s="664" t="s">
        <v>8</v>
      </c>
      <c r="E155" s="665"/>
      <c r="F155" s="665"/>
      <c r="G155" s="665"/>
      <c r="H155" s="665"/>
      <c r="I155" s="666"/>
      <c r="J155" s="667" t="s">
        <v>5</v>
      </c>
      <c r="K155" s="665"/>
      <c r="L155" s="665"/>
      <c r="M155" s="665"/>
      <c r="N155" s="665"/>
      <c r="O155" s="665"/>
      <c r="P155" s="665"/>
      <c r="Q155" s="666"/>
      <c r="R155" s="668" t="s">
        <v>9</v>
      </c>
      <c r="S155" s="669"/>
      <c r="T155" s="669"/>
      <c r="U155" s="669"/>
      <c r="V155" s="669"/>
      <c r="W155" s="669"/>
      <c r="X155" s="669"/>
      <c r="Y155" s="669"/>
      <c r="Z155" s="670"/>
      <c r="AA155" s="609" t="s">
        <v>10</v>
      </c>
      <c r="AB155" s="610"/>
      <c r="AC155" s="671"/>
      <c r="AD155" s="609" t="s">
        <v>11</v>
      </c>
      <c r="AE155" s="610"/>
      <c r="AF155" s="610"/>
      <c r="AG155" s="610"/>
      <c r="AH155" s="610"/>
      <c r="AI155" s="610"/>
      <c r="AJ155" s="610"/>
      <c r="AK155" s="610"/>
      <c r="AL155" s="610"/>
      <c r="AM155" s="611"/>
      <c r="AU155" s="102"/>
      <c r="AV155" s="102"/>
    </row>
    <row r="156" spans="1:48" s="96" customFormat="1" ht="27.75" customHeight="1" x14ac:dyDescent="0.4">
      <c r="D156" s="651" t="s">
        <v>298</v>
      </c>
      <c r="E156" s="652"/>
      <c r="F156" s="652"/>
      <c r="G156" s="652"/>
      <c r="H156" s="652"/>
      <c r="I156" s="653"/>
      <c r="J156" s="654"/>
      <c r="K156" s="652"/>
      <c r="L156" s="652"/>
      <c r="M156" s="652"/>
      <c r="N156" s="652"/>
      <c r="O156" s="652"/>
      <c r="P156" s="652"/>
      <c r="Q156" s="653"/>
      <c r="R156" s="655"/>
      <c r="S156" s="656"/>
      <c r="T156" s="656"/>
      <c r="U156" s="656"/>
      <c r="V156" s="656"/>
      <c r="W156" s="656"/>
      <c r="X156" s="656"/>
      <c r="Y156" s="656"/>
      <c r="Z156" s="657"/>
      <c r="AA156" s="658"/>
      <c r="AB156" s="659"/>
      <c r="AC156" s="660"/>
      <c r="AD156" s="661"/>
      <c r="AE156" s="662"/>
      <c r="AF156" s="662"/>
      <c r="AG156" s="662"/>
      <c r="AH156" s="662"/>
      <c r="AI156" s="662"/>
      <c r="AJ156" s="662"/>
      <c r="AK156" s="662"/>
      <c r="AL156" s="662"/>
      <c r="AM156" s="663"/>
      <c r="AU156" s="102"/>
      <c r="AV156" s="102"/>
    </row>
    <row r="157" spans="1:48" s="96" customFormat="1" ht="27.75" customHeight="1" x14ac:dyDescent="0.4">
      <c r="D157" s="688" t="s">
        <v>12</v>
      </c>
      <c r="E157" s="604"/>
      <c r="F157" s="604"/>
      <c r="G157" s="604"/>
      <c r="H157" s="604"/>
      <c r="I157" s="605"/>
      <c r="J157" s="603"/>
      <c r="K157" s="604"/>
      <c r="L157" s="604"/>
      <c r="M157" s="604"/>
      <c r="N157" s="604"/>
      <c r="O157" s="604"/>
      <c r="P157" s="604"/>
      <c r="Q157" s="605"/>
      <c r="R157" s="606"/>
      <c r="S157" s="607"/>
      <c r="T157" s="607"/>
      <c r="U157" s="607"/>
      <c r="V157" s="607"/>
      <c r="W157" s="607"/>
      <c r="X157" s="607"/>
      <c r="Y157" s="607"/>
      <c r="Z157" s="608"/>
      <c r="AA157" s="606"/>
      <c r="AB157" s="607"/>
      <c r="AC157" s="608"/>
      <c r="AD157" s="672"/>
      <c r="AE157" s="673"/>
      <c r="AF157" s="673"/>
      <c r="AG157" s="673"/>
      <c r="AH157" s="673"/>
      <c r="AI157" s="673"/>
      <c r="AJ157" s="673"/>
      <c r="AK157" s="673"/>
      <c r="AL157" s="673"/>
      <c r="AM157" s="674"/>
      <c r="AU157" s="102"/>
      <c r="AV157" s="102"/>
    </row>
    <row r="158" spans="1:48" s="96" customFormat="1" ht="27.75" customHeight="1" thickBot="1" x14ac:dyDescent="0.45">
      <c r="D158" s="675" t="s">
        <v>12</v>
      </c>
      <c r="E158" s="676"/>
      <c r="F158" s="676"/>
      <c r="G158" s="676"/>
      <c r="H158" s="676"/>
      <c r="I158" s="677"/>
      <c r="J158" s="678"/>
      <c r="K158" s="676"/>
      <c r="L158" s="676"/>
      <c r="M158" s="676"/>
      <c r="N158" s="676"/>
      <c r="O158" s="676"/>
      <c r="P158" s="676"/>
      <c r="Q158" s="677"/>
      <c r="R158" s="679"/>
      <c r="S158" s="680"/>
      <c r="T158" s="680"/>
      <c r="U158" s="680"/>
      <c r="V158" s="680"/>
      <c r="W158" s="680"/>
      <c r="X158" s="680"/>
      <c r="Y158" s="680"/>
      <c r="Z158" s="681"/>
      <c r="AA158" s="682"/>
      <c r="AB158" s="683"/>
      <c r="AC158" s="684"/>
      <c r="AD158" s="685"/>
      <c r="AE158" s="686"/>
      <c r="AF158" s="686"/>
      <c r="AG158" s="686"/>
      <c r="AH158" s="686"/>
      <c r="AI158" s="686"/>
      <c r="AJ158" s="686"/>
      <c r="AK158" s="686"/>
      <c r="AL158" s="686"/>
      <c r="AM158" s="687"/>
      <c r="AU158" s="102"/>
      <c r="AV158" s="102"/>
    </row>
    <row r="159" spans="1:48" s="96" customFormat="1" ht="15.75" customHeight="1" x14ac:dyDescent="0.4">
      <c r="AU159" s="102"/>
      <c r="AV159" s="102"/>
    </row>
    <row r="160" spans="1:48" s="96" customFormat="1" ht="27.75" customHeight="1" x14ac:dyDescent="0.4">
      <c r="A160" s="115"/>
      <c r="B160" s="599" t="str">
        <f>U12組合せ!$B$1</f>
        <v>ＪＦＡ　Ｕ-１２サッカーリーグ2021（in栃木） 宇都宮地区リーグ戦（前期）</v>
      </c>
      <c r="C160" s="599"/>
      <c r="D160" s="599"/>
      <c r="E160" s="599"/>
      <c r="F160" s="599"/>
      <c r="G160" s="599"/>
      <c r="H160" s="599"/>
      <c r="I160" s="599"/>
      <c r="J160" s="599"/>
      <c r="K160" s="599"/>
      <c r="L160" s="599"/>
      <c r="M160" s="599"/>
      <c r="N160" s="599"/>
      <c r="O160" s="599"/>
      <c r="P160" s="599"/>
      <c r="Q160" s="599"/>
      <c r="R160" s="599"/>
      <c r="S160" s="599"/>
      <c r="T160" s="599"/>
      <c r="U160" s="599"/>
      <c r="V160" s="599"/>
      <c r="W160" s="599"/>
      <c r="X160" s="599"/>
      <c r="Y160" s="599"/>
      <c r="Z160" s="599"/>
      <c r="AA160" s="599"/>
      <c r="AB160" s="599"/>
      <c r="AC160" s="612" t="str">
        <f>"【"&amp;(U12組合せ!$J$3)&amp;"】"</f>
        <v>【Ｄ ブロック】</v>
      </c>
      <c r="AD160" s="612"/>
      <c r="AE160" s="612"/>
      <c r="AF160" s="612"/>
      <c r="AG160" s="612"/>
      <c r="AH160" s="612"/>
      <c r="AI160" s="612"/>
      <c r="AJ160" s="612"/>
      <c r="AK160" s="602" t="str">
        <f>"第"&amp;(U12組合せ!$D$27)</f>
        <v>第２節</v>
      </c>
      <c r="AL160" s="602"/>
      <c r="AM160" s="602"/>
      <c r="AN160" s="602"/>
      <c r="AO160" s="602"/>
      <c r="AP160" s="597" t="s">
        <v>333</v>
      </c>
      <c r="AQ160" s="598"/>
      <c r="AU160" s="102"/>
      <c r="AV160" s="102"/>
    </row>
    <row r="161" spans="1:48" s="96" customFormat="1" ht="15" customHeight="1" x14ac:dyDescent="0.4">
      <c r="A161" s="115"/>
      <c r="B161" s="599"/>
      <c r="C161" s="599"/>
      <c r="D161" s="599"/>
      <c r="E161" s="599"/>
      <c r="F161" s="599"/>
      <c r="G161" s="599"/>
      <c r="H161" s="599"/>
      <c r="I161" s="599"/>
      <c r="J161" s="599"/>
      <c r="K161" s="599"/>
      <c r="L161" s="599"/>
      <c r="M161" s="599"/>
      <c r="N161" s="599"/>
      <c r="O161" s="599"/>
      <c r="P161" s="599"/>
      <c r="Q161" s="599"/>
      <c r="R161" s="599"/>
      <c r="S161" s="599"/>
      <c r="T161" s="599"/>
      <c r="U161" s="599"/>
      <c r="V161" s="599"/>
      <c r="W161" s="599"/>
      <c r="X161" s="599"/>
      <c r="Y161" s="599"/>
      <c r="Z161" s="599"/>
      <c r="AA161" s="599"/>
      <c r="AB161" s="599"/>
      <c r="AC161" s="601"/>
      <c r="AD161" s="601"/>
      <c r="AE161" s="601"/>
      <c r="AF161" s="601"/>
      <c r="AG161" s="601"/>
      <c r="AH161" s="601"/>
      <c r="AI161" s="601"/>
      <c r="AJ161" s="601"/>
      <c r="AK161" s="601"/>
      <c r="AL161" s="601"/>
      <c r="AM161" s="601"/>
      <c r="AN161" s="601"/>
      <c r="AO161" s="601"/>
      <c r="AP161" s="598"/>
      <c r="AQ161" s="598"/>
      <c r="AU161" s="102"/>
      <c r="AV161" s="102"/>
    </row>
    <row r="162" spans="1:48" s="96" customFormat="1" ht="29.25" customHeight="1" x14ac:dyDescent="0.4">
      <c r="C162" s="635" t="s">
        <v>1</v>
      </c>
      <c r="D162" s="635"/>
      <c r="E162" s="635"/>
      <c r="F162" s="635"/>
      <c r="G162" s="725" t="str">
        <f>U12対戦スケジュール!U45</f>
        <v>石井 6 AM</v>
      </c>
      <c r="H162" s="726"/>
      <c r="I162" s="726"/>
      <c r="J162" s="726"/>
      <c r="K162" s="726"/>
      <c r="L162" s="726"/>
      <c r="M162" s="726"/>
      <c r="N162" s="726"/>
      <c r="O162" s="727"/>
      <c r="P162" s="635" t="s">
        <v>0</v>
      </c>
      <c r="Q162" s="635"/>
      <c r="R162" s="635"/>
      <c r="S162" s="635"/>
      <c r="T162" s="725" t="str">
        <f>S166</f>
        <v>SUGAOプロミネンス</v>
      </c>
      <c r="U162" s="726"/>
      <c r="V162" s="726"/>
      <c r="W162" s="726"/>
      <c r="X162" s="726"/>
      <c r="Y162" s="726"/>
      <c r="Z162" s="726"/>
      <c r="AA162" s="726"/>
      <c r="AB162" s="727"/>
      <c r="AC162" s="635" t="s">
        <v>2</v>
      </c>
      <c r="AD162" s="635"/>
      <c r="AE162" s="635"/>
      <c r="AF162" s="635"/>
      <c r="AG162" s="618">
        <f>U12組合せ!B$27</f>
        <v>44310</v>
      </c>
      <c r="AH162" s="619"/>
      <c r="AI162" s="619"/>
      <c r="AJ162" s="619"/>
      <c r="AK162" s="619"/>
      <c r="AL162" s="619"/>
      <c r="AM162" s="620" t="str">
        <f>"（"&amp;TEXT(AG162,"aaa")&amp;"）"</f>
        <v>（土）</v>
      </c>
      <c r="AN162" s="620"/>
      <c r="AO162" s="621"/>
      <c r="AP162" s="116"/>
      <c r="AR162" s="96">
        <f>172/2</f>
        <v>86</v>
      </c>
      <c r="AU162" s="102"/>
      <c r="AV162" s="102"/>
    </row>
    <row r="163" spans="1:48" s="96" customFormat="1" ht="17.25" customHeight="1" x14ac:dyDescent="0.4">
      <c r="C163" s="96" t="str">
        <f>U12組合せ!K32</f>
        <v>D369</v>
      </c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95"/>
      <c r="X163" s="95"/>
      <c r="Y163" s="95"/>
      <c r="Z163" s="95"/>
      <c r="AA163" s="95"/>
      <c r="AB163" s="95"/>
      <c r="AC163" s="95"/>
      <c r="AR163" s="96">
        <v>47</v>
      </c>
      <c r="AU163" s="102"/>
      <c r="AV163" s="102"/>
    </row>
    <row r="164" spans="1:48" s="96" customFormat="1" ht="30.75" customHeight="1" x14ac:dyDescent="0.4">
      <c r="C164" s="637">
        <v>1</v>
      </c>
      <c r="D164" s="637"/>
      <c r="E164" s="584" t="str">
        <f>VLOOKUP(C164,U12組合せ!B$10:K$19,9,TRUE)</f>
        <v>FCブロケード</v>
      </c>
      <c r="F164" s="584"/>
      <c r="G164" s="584"/>
      <c r="H164" s="584"/>
      <c r="I164" s="584"/>
      <c r="J164" s="584"/>
      <c r="K164" s="584"/>
      <c r="L164" s="584"/>
      <c r="M164" s="584"/>
      <c r="N164" s="584"/>
      <c r="O164" s="94"/>
      <c r="P164" s="94"/>
      <c r="Q164" s="637">
        <v>4</v>
      </c>
      <c r="R164" s="637"/>
      <c r="S164" s="584" t="str">
        <f>VLOOKUP(Q164,U12組合せ!B$10:K$19,9,TRUE)</f>
        <v>清原フューチャーズ</v>
      </c>
      <c r="T164" s="584"/>
      <c r="U164" s="584"/>
      <c r="V164" s="584"/>
      <c r="W164" s="584"/>
      <c r="X164" s="584"/>
      <c r="Y164" s="584"/>
      <c r="Z164" s="584"/>
      <c r="AA164" s="584"/>
      <c r="AB164" s="584"/>
      <c r="AC164" s="92"/>
      <c r="AD164" s="93"/>
      <c r="AE164" s="637">
        <v>7</v>
      </c>
      <c r="AF164" s="637"/>
      <c r="AG164" s="584" t="str">
        <f>VLOOKUP(AE164,U12組合せ!B$10:'U12組合せ'!K$19,9,TRUE)</f>
        <v>宝木キッカーズ</v>
      </c>
      <c r="AH164" s="584"/>
      <c r="AI164" s="584"/>
      <c r="AJ164" s="584"/>
      <c r="AK164" s="584"/>
      <c r="AL164" s="584"/>
      <c r="AM164" s="584"/>
      <c r="AN164" s="584"/>
      <c r="AO164" s="584"/>
      <c r="AP164" s="584"/>
      <c r="AR164" s="96">
        <f>AR162-AR163</f>
        <v>39</v>
      </c>
      <c r="AU164" s="102"/>
      <c r="AV164" s="102"/>
    </row>
    <row r="165" spans="1:48" s="96" customFormat="1" ht="30.75" customHeight="1" x14ac:dyDescent="0.4">
      <c r="C165" s="637">
        <v>2</v>
      </c>
      <c r="D165" s="637"/>
      <c r="E165" s="584" t="str">
        <f>VLOOKUP(C165,U12組合せ!B$10:K$19,9,TRUE)</f>
        <v>FCみらいV</v>
      </c>
      <c r="F165" s="584"/>
      <c r="G165" s="584"/>
      <c r="H165" s="584"/>
      <c r="I165" s="584"/>
      <c r="J165" s="584"/>
      <c r="K165" s="584"/>
      <c r="L165" s="584"/>
      <c r="M165" s="584"/>
      <c r="N165" s="584"/>
      <c r="O165" s="94"/>
      <c r="P165" s="94"/>
      <c r="Q165" s="637">
        <v>5</v>
      </c>
      <c r="R165" s="637"/>
      <c r="S165" s="584" t="str">
        <f>VLOOKUP(Q165,U12組合せ!B$10:K$19,9,TRUE)</f>
        <v>ウエストフットコムU11</v>
      </c>
      <c r="T165" s="584"/>
      <c r="U165" s="584"/>
      <c r="V165" s="584"/>
      <c r="W165" s="584"/>
      <c r="X165" s="584"/>
      <c r="Y165" s="584"/>
      <c r="Z165" s="584"/>
      <c r="AA165" s="584"/>
      <c r="AB165" s="584"/>
      <c r="AC165" s="92"/>
      <c r="AD165" s="93"/>
      <c r="AE165" s="637">
        <v>8</v>
      </c>
      <c r="AF165" s="637"/>
      <c r="AG165" s="584" t="str">
        <f>VLOOKUP(AE165,U12組合せ!B$10:'U12組合せ'!K$19,9,TRUE)</f>
        <v>陽東SSS</v>
      </c>
      <c r="AH165" s="584"/>
      <c r="AI165" s="584"/>
      <c r="AJ165" s="584"/>
      <c r="AK165" s="584"/>
      <c r="AL165" s="584"/>
      <c r="AM165" s="584"/>
      <c r="AN165" s="584"/>
      <c r="AO165" s="584"/>
      <c r="AP165" s="584"/>
      <c r="AU165" s="102"/>
      <c r="AV165" s="102"/>
    </row>
    <row r="166" spans="1:48" s="96" customFormat="1" ht="30.75" customHeight="1" x14ac:dyDescent="0.4">
      <c r="C166" s="636">
        <v>3</v>
      </c>
      <c r="D166" s="636"/>
      <c r="E166" s="709" t="str">
        <f>VLOOKUP(C166,U12組合せ!B$10:K$19,9,TRUE)</f>
        <v>宇大付属小SSS U11</v>
      </c>
      <c r="F166" s="709"/>
      <c r="G166" s="709"/>
      <c r="H166" s="709"/>
      <c r="I166" s="709"/>
      <c r="J166" s="709"/>
      <c r="K166" s="709"/>
      <c r="L166" s="709"/>
      <c r="M166" s="709"/>
      <c r="N166" s="709"/>
      <c r="O166" s="140"/>
      <c r="P166" s="140"/>
      <c r="Q166" s="636">
        <v>6</v>
      </c>
      <c r="R166" s="636"/>
      <c r="S166" s="709" t="str">
        <f>VLOOKUP(Q166,U12組合せ!B$10:K$19,9,TRUE)</f>
        <v>SUGAOプロミネンス</v>
      </c>
      <c r="T166" s="709"/>
      <c r="U166" s="709"/>
      <c r="V166" s="709"/>
      <c r="W166" s="709"/>
      <c r="X166" s="709"/>
      <c r="Y166" s="709"/>
      <c r="Z166" s="709"/>
      <c r="AA166" s="709"/>
      <c r="AB166" s="709"/>
      <c r="AC166" s="92"/>
      <c r="AD166" s="139"/>
      <c r="AE166" s="636">
        <v>9</v>
      </c>
      <c r="AF166" s="636"/>
      <c r="AG166" s="709" t="str">
        <f>VLOOKUP(AE166,U12組合せ!B$10:'U12組合せ'!K$19,9,TRUE)</f>
        <v>ジュベニール</v>
      </c>
      <c r="AH166" s="709"/>
      <c r="AI166" s="709"/>
      <c r="AJ166" s="709"/>
      <c r="AK166" s="709"/>
      <c r="AL166" s="709"/>
      <c r="AM166" s="709"/>
      <c r="AN166" s="709"/>
      <c r="AO166" s="709"/>
      <c r="AP166" s="709"/>
      <c r="AU166" s="102"/>
      <c r="AV166" s="102"/>
    </row>
    <row r="167" spans="1:48" s="96" customFormat="1" ht="12" customHeight="1" x14ac:dyDescent="0.4">
      <c r="C167" s="121"/>
      <c r="D167" s="121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94"/>
      <c r="P167" s="94"/>
      <c r="Q167" s="123"/>
      <c r="R167" s="123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92"/>
      <c r="AD167" s="93"/>
      <c r="AE167" s="123"/>
      <c r="AF167" s="123"/>
      <c r="AG167" s="124"/>
      <c r="AH167" s="124"/>
      <c r="AI167" s="124"/>
      <c r="AJ167" s="124"/>
      <c r="AK167" s="124"/>
      <c r="AL167" s="124"/>
      <c r="AM167" s="124"/>
      <c r="AN167" s="124"/>
      <c r="AO167" s="124"/>
      <c r="AP167" s="124"/>
      <c r="AU167" s="102"/>
      <c r="AV167" s="102"/>
    </row>
    <row r="168" spans="1:48" s="96" customFormat="1" ht="12" customHeight="1" x14ac:dyDescent="0.4">
      <c r="B168" s="102"/>
      <c r="O168" s="102"/>
      <c r="P168" s="102"/>
      <c r="AC168" s="95"/>
      <c r="AD168" s="102"/>
      <c r="AE168" s="102"/>
      <c r="AF168" s="102"/>
      <c r="AG168" s="102"/>
      <c r="AU168" s="102"/>
      <c r="AV168" s="102"/>
    </row>
    <row r="169" spans="1:48" s="96" customFormat="1" ht="12" customHeight="1" x14ac:dyDescent="0.4">
      <c r="C169" s="117"/>
      <c r="D169" s="118"/>
      <c r="E169" s="118"/>
      <c r="F169" s="118"/>
      <c r="G169" s="118"/>
      <c r="H169" s="118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18"/>
      <c r="U169" s="102"/>
      <c r="V169" s="118"/>
      <c r="W169" s="102"/>
      <c r="X169" s="118"/>
      <c r="Y169" s="102"/>
      <c r="Z169" s="118"/>
      <c r="AA169" s="102"/>
      <c r="AB169" s="118"/>
      <c r="AC169" s="118"/>
      <c r="AU169" s="102"/>
      <c r="AV169" s="102"/>
    </row>
    <row r="170" spans="1:48" s="96" customFormat="1" ht="21.75" customHeight="1" x14ac:dyDescent="0.4">
      <c r="B170" s="118" t="str">
        <f ca="1">IF(B172="①","【監督会議 8：20～】","【監督会議 12：50～】")</f>
        <v>【監督会議 8：20～】</v>
      </c>
      <c r="I170" s="96" t="s">
        <v>330</v>
      </c>
      <c r="AU170" s="102"/>
      <c r="AV170" s="102"/>
    </row>
    <row r="171" spans="1:48" s="96" customFormat="1" ht="19.5" customHeight="1" x14ac:dyDescent="0.4">
      <c r="B171" s="97"/>
      <c r="C171" s="711" t="s">
        <v>3</v>
      </c>
      <c r="D171" s="711"/>
      <c r="E171" s="711"/>
      <c r="F171" s="712" t="s">
        <v>4</v>
      </c>
      <c r="G171" s="712"/>
      <c r="H171" s="712"/>
      <c r="I171" s="712"/>
      <c r="J171" s="711" t="s">
        <v>5</v>
      </c>
      <c r="K171" s="713"/>
      <c r="L171" s="713"/>
      <c r="M171" s="713"/>
      <c r="N171" s="713"/>
      <c r="O171" s="713"/>
      <c r="P171" s="713"/>
      <c r="Q171" s="711" t="s">
        <v>32</v>
      </c>
      <c r="R171" s="711"/>
      <c r="S171" s="711"/>
      <c r="T171" s="711"/>
      <c r="U171" s="711"/>
      <c r="V171" s="711"/>
      <c r="W171" s="711"/>
      <c r="X171" s="711" t="s">
        <v>5</v>
      </c>
      <c r="Y171" s="713"/>
      <c r="Z171" s="713"/>
      <c r="AA171" s="713"/>
      <c r="AB171" s="713"/>
      <c r="AC171" s="713"/>
      <c r="AD171" s="713"/>
      <c r="AE171" s="712" t="s">
        <v>4</v>
      </c>
      <c r="AF171" s="712"/>
      <c r="AG171" s="712"/>
      <c r="AH171" s="712"/>
      <c r="AI171" s="711" t="s">
        <v>6</v>
      </c>
      <c r="AJ171" s="711"/>
      <c r="AK171" s="713"/>
      <c r="AL171" s="713"/>
      <c r="AM171" s="713"/>
      <c r="AN171" s="713"/>
      <c r="AO171" s="713"/>
      <c r="AP171" s="713"/>
      <c r="AU171" s="102"/>
      <c r="AV171" s="102"/>
    </row>
    <row r="172" spans="1:48" s="96" customFormat="1" ht="19.5" customHeight="1" x14ac:dyDescent="0.4">
      <c r="B172" s="644" t="str">
        <f ca="1">DBCS(INDIRECT("U12対戦スケジュール!S"&amp;(ROW())/2-AR$164))</f>
        <v>①</v>
      </c>
      <c r="C172" s="645">
        <f ca="1">INDIRECT("U12対戦スケジュール!T"&amp;(ROW())/2-AR$164)</f>
        <v>0.375</v>
      </c>
      <c r="D172" s="646"/>
      <c r="E172" s="647"/>
      <c r="F172" s="583"/>
      <c r="G172" s="583"/>
      <c r="H172" s="583"/>
      <c r="I172" s="583"/>
      <c r="J172" s="746" t="str">
        <f ca="1">VLOOKUP(AR172,U12組合せ!B$10:K$19,9,TRUE)</f>
        <v>宇大付属小SSS U11</v>
      </c>
      <c r="K172" s="747"/>
      <c r="L172" s="747"/>
      <c r="M172" s="747"/>
      <c r="N172" s="747"/>
      <c r="O172" s="747"/>
      <c r="P172" s="747"/>
      <c r="Q172" s="628">
        <f>IF(OR(S172="",S173=""),"",S172+S173)</f>
        <v>3</v>
      </c>
      <c r="R172" s="630"/>
      <c r="S172" s="100">
        <v>2</v>
      </c>
      <c r="T172" s="101" t="s">
        <v>7</v>
      </c>
      <c r="U172" s="100">
        <v>0</v>
      </c>
      <c r="V172" s="628">
        <f>IF(OR(U172="",U173=""),"",U172+U173)</f>
        <v>0</v>
      </c>
      <c r="W172" s="630"/>
      <c r="X172" s="746" t="str">
        <f ca="1">VLOOKUP(AS172,U12組合せ!B$10:K$19,9,TRUE)</f>
        <v>SUGAOプロミネンス</v>
      </c>
      <c r="Y172" s="747"/>
      <c r="Z172" s="747"/>
      <c r="AA172" s="747"/>
      <c r="AB172" s="747"/>
      <c r="AC172" s="747"/>
      <c r="AD172" s="747"/>
      <c r="AE172" s="583"/>
      <c r="AF172" s="583"/>
      <c r="AG172" s="583"/>
      <c r="AH172" s="583"/>
      <c r="AI172" s="758" t="str">
        <f ca="1">DBCS(INDIRECT("U12対戦スケジュール!X"&amp;(ROW())/2-AR$164))</f>
        <v>９／３／６／９</v>
      </c>
      <c r="AJ172" s="759"/>
      <c r="AK172" s="759"/>
      <c r="AL172" s="759"/>
      <c r="AM172" s="759"/>
      <c r="AN172" s="759"/>
      <c r="AO172" s="759"/>
      <c r="AP172" s="760"/>
      <c r="AR172" s="119">
        <f ca="1">INDIRECT("U12対戦スケジュール!U"&amp;(ROW())/2-AR$164)</f>
        <v>3</v>
      </c>
      <c r="AS172" s="119">
        <f ca="1">INDIRECT("U12対戦スケジュール!W"&amp;(ROW())/2-AR$164)</f>
        <v>6</v>
      </c>
      <c r="AU172" s="102"/>
      <c r="AV172" s="102"/>
    </row>
    <row r="173" spans="1:48" s="96" customFormat="1" ht="19.5" customHeight="1" x14ac:dyDescent="0.4">
      <c r="B173" s="644"/>
      <c r="C173" s="648"/>
      <c r="D173" s="649"/>
      <c r="E173" s="650"/>
      <c r="F173" s="583"/>
      <c r="G173" s="583"/>
      <c r="H173" s="583"/>
      <c r="I173" s="583"/>
      <c r="J173" s="747"/>
      <c r="K173" s="747"/>
      <c r="L173" s="747"/>
      <c r="M173" s="747"/>
      <c r="N173" s="747"/>
      <c r="O173" s="747"/>
      <c r="P173" s="747"/>
      <c r="Q173" s="631"/>
      <c r="R173" s="633"/>
      <c r="S173" s="100">
        <v>1</v>
      </c>
      <c r="T173" s="101" t="s">
        <v>7</v>
      </c>
      <c r="U173" s="100">
        <v>0</v>
      </c>
      <c r="V173" s="631"/>
      <c r="W173" s="633"/>
      <c r="X173" s="747"/>
      <c r="Y173" s="747"/>
      <c r="Z173" s="747"/>
      <c r="AA173" s="747"/>
      <c r="AB173" s="747"/>
      <c r="AC173" s="747"/>
      <c r="AD173" s="747"/>
      <c r="AE173" s="583"/>
      <c r="AF173" s="583"/>
      <c r="AG173" s="583"/>
      <c r="AH173" s="583"/>
      <c r="AI173" s="761"/>
      <c r="AJ173" s="762"/>
      <c r="AK173" s="762"/>
      <c r="AL173" s="762"/>
      <c r="AM173" s="762"/>
      <c r="AN173" s="762"/>
      <c r="AO173" s="762"/>
      <c r="AP173" s="763"/>
      <c r="AR173" s="119"/>
      <c r="AS173" s="119"/>
      <c r="AU173" s="102"/>
      <c r="AV173" s="102"/>
    </row>
    <row r="174" spans="1:48" s="96" customFormat="1" ht="19.5" customHeight="1" x14ac:dyDescent="0.4">
      <c r="B174" s="644" t="str">
        <f ca="1">DBCS(INDIRECT("U12対戦スケジュール!S"&amp;(ROW())/2-AR$164))</f>
        <v>②</v>
      </c>
      <c r="C174" s="645">
        <f ca="1">INDIRECT("U12対戦スケジュール!T"&amp;(ROW())/2-AR$164)</f>
        <v>0.41699999999999998</v>
      </c>
      <c r="D174" s="646"/>
      <c r="E174" s="647"/>
      <c r="F174" s="583"/>
      <c r="G174" s="583"/>
      <c r="H174" s="583"/>
      <c r="I174" s="583"/>
      <c r="J174" s="746" t="str">
        <f ca="1">VLOOKUP(AR174,U12組合せ!B$10:K$19,9,TRUE)</f>
        <v>ジュベニール</v>
      </c>
      <c r="K174" s="747"/>
      <c r="L174" s="747"/>
      <c r="M174" s="747"/>
      <c r="N174" s="747"/>
      <c r="O174" s="747"/>
      <c r="P174" s="747"/>
      <c r="Q174" s="634">
        <f>IF(OR(S174="",S175=""),"",S174+S175)</f>
        <v>3</v>
      </c>
      <c r="R174" s="634"/>
      <c r="S174" s="100">
        <v>2</v>
      </c>
      <c r="T174" s="101" t="s">
        <v>7</v>
      </c>
      <c r="U174" s="100">
        <v>0</v>
      </c>
      <c r="V174" s="634">
        <f>IF(OR(U174="",U175=""),"",U174+U175)</f>
        <v>1</v>
      </c>
      <c r="W174" s="634"/>
      <c r="X174" s="746" t="str">
        <f ca="1">VLOOKUP(AS174,U12組合せ!B$10:K$19,9,TRUE)</f>
        <v>SUGAOプロミネンス</v>
      </c>
      <c r="Y174" s="747"/>
      <c r="Z174" s="747"/>
      <c r="AA174" s="747"/>
      <c r="AB174" s="747"/>
      <c r="AC174" s="747"/>
      <c r="AD174" s="747"/>
      <c r="AE174" s="583"/>
      <c r="AF174" s="583"/>
      <c r="AG174" s="583"/>
      <c r="AH174" s="583"/>
      <c r="AI174" s="758" t="str">
        <f ca="1">DBCS(INDIRECT("U12対戦スケジュール!X"&amp;(ROW())/2-AR$164))</f>
        <v>３／６／９／３</v>
      </c>
      <c r="AJ174" s="759"/>
      <c r="AK174" s="759"/>
      <c r="AL174" s="759"/>
      <c r="AM174" s="759"/>
      <c r="AN174" s="759"/>
      <c r="AO174" s="759"/>
      <c r="AP174" s="760"/>
      <c r="AR174" s="119">
        <f ca="1">INDIRECT("U12対戦スケジュール!U"&amp;(ROW())/2-AR$164)</f>
        <v>9</v>
      </c>
      <c r="AS174" s="119">
        <f ca="1">INDIRECT("U12対戦スケジュール!W"&amp;(ROW())/2-AR$164)</f>
        <v>6</v>
      </c>
      <c r="AU174" s="102"/>
      <c r="AV174" s="102"/>
    </row>
    <row r="175" spans="1:48" s="96" customFormat="1" ht="19.5" customHeight="1" x14ac:dyDescent="0.4">
      <c r="B175" s="644"/>
      <c r="C175" s="648"/>
      <c r="D175" s="649"/>
      <c r="E175" s="650"/>
      <c r="F175" s="583"/>
      <c r="G175" s="583"/>
      <c r="H175" s="583"/>
      <c r="I175" s="583"/>
      <c r="J175" s="747"/>
      <c r="K175" s="747"/>
      <c r="L175" s="747"/>
      <c r="M175" s="747"/>
      <c r="N175" s="747"/>
      <c r="O175" s="747"/>
      <c r="P175" s="747"/>
      <c r="Q175" s="634"/>
      <c r="R175" s="634"/>
      <c r="S175" s="100">
        <v>1</v>
      </c>
      <c r="T175" s="101" t="s">
        <v>7</v>
      </c>
      <c r="U175" s="100">
        <v>1</v>
      </c>
      <c r="V175" s="634"/>
      <c r="W175" s="634"/>
      <c r="X175" s="747"/>
      <c r="Y175" s="747"/>
      <c r="Z175" s="747"/>
      <c r="AA175" s="747"/>
      <c r="AB175" s="747"/>
      <c r="AC175" s="747"/>
      <c r="AD175" s="747"/>
      <c r="AE175" s="583"/>
      <c r="AF175" s="583"/>
      <c r="AG175" s="583"/>
      <c r="AH175" s="583"/>
      <c r="AI175" s="761"/>
      <c r="AJ175" s="762"/>
      <c r="AK175" s="762"/>
      <c r="AL175" s="762"/>
      <c r="AM175" s="762"/>
      <c r="AN175" s="762"/>
      <c r="AO175" s="762"/>
      <c r="AP175" s="763"/>
      <c r="AR175" s="119"/>
      <c r="AS175" s="119"/>
      <c r="AU175" s="102"/>
      <c r="AV175" s="102"/>
    </row>
    <row r="176" spans="1:48" s="96" customFormat="1" ht="19.5" customHeight="1" x14ac:dyDescent="0.4">
      <c r="B176" s="644" t="str">
        <f ca="1">DBCS(INDIRECT("U12対戦スケジュール!S"&amp;(ROW())/2-AR$164))</f>
        <v>③</v>
      </c>
      <c r="C176" s="645">
        <f ca="1">INDIRECT("U12対戦スケジュール!T"&amp;(ROW())/2-AR$164)</f>
        <v>0.45899999999999996</v>
      </c>
      <c r="D176" s="646"/>
      <c r="E176" s="647"/>
      <c r="F176" s="583"/>
      <c r="G176" s="583"/>
      <c r="H176" s="583"/>
      <c r="I176" s="583"/>
      <c r="J176" s="746" t="str">
        <f ca="1">VLOOKUP(AR176,U12組合せ!B$10:K$19,9,TRUE)</f>
        <v>ジュベニール</v>
      </c>
      <c r="K176" s="747"/>
      <c r="L176" s="747"/>
      <c r="M176" s="747"/>
      <c r="N176" s="747"/>
      <c r="O176" s="747"/>
      <c r="P176" s="747"/>
      <c r="Q176" s="634">
        <f>IF(OR(S176="",S177=""),"",S176+S177)</f>
        <v>3</v>
      </c>
      <c r="R176" s="634"/>
      <c r="S176" s="100">
        <v>1</v>
      </c>
      <c r="T176" s="101" t="s">
        <v>7</v>
      </c>
      <c r="U176" s="100">
        <v>2</v>
      </c>
      <c r="V176" s="634">
        <f>IF(OR(U176="",U177=""),"",U176+U177)</f>
        <v>2</v>
      </c>
      <c r="W176" s="634"/>
      <c r="X176" s="746" t="str">
        <f ca="1">VLOOKUP(AS176,U12組合せ!B$10:K$19,9,TRUE)</f>
        <v>宇大付属小SSS U11</v>
      </c>
      <c r="Y176" s="747"/>
      <c r="Z176" s="747"/>
      <c r="AA176" s="747"/>
      <c r="AB176" s="747"/>
      <c r="AC176" s="747"/>
      <c r="AD176" s="747"/>
      <c r="AE176" s="583"/>
      <c r="AF176" s="583"/>
      <c r="AG176" s="583"/>
      <c r="AH176" s="583"/>
      <c r="AI176" s="758" t="str">
        <f ca="1">DBCS(INDIRECT("U12対戦スケジュール!X"&amp;(ROW())/2-AR$164))</f>
        <v>６／９／３／６</v>
      </c>
      <c r="AJ176" s="759"/>
      <c r="AK176" s="759"/>
      <c r="AL176" s="759"/>
      <c r="AM176" s="759"/>
      <c r="AN176" s="759"/>
      <c r="AO176" s="759"/>
      <c r="AP176" s="760"/>
      <c r="AR176" s="119">
        <f ca="1">INDIRECT("U12対戦スケジュール!U"&amp;(ROW())/2-AR$164)</f>
        <v>9</v>
      </c>
      <c r="AS176" s="119">
        <f ca="1">INDIRECT("U12対戦スケジュール!W"&amp;(ROW())/2-AR$164)</f>
        <v>3</v>
      </c>
      <c r="AU176" s="102"/>
      <c r="AV176" s="102"/>
    </row>
    <row r="177" spans="1:48" s="96" customFormat="1" ht="19.5" customHeight="1" x14ac:dyDescent="0.4">
      <c r="B177" s="644"/>
      <c r="C177" s="648"/>
      <c r="D177" s="649"/>
      <c r="E177" s="650"/>
      <c r="F177" s="583"/>
      <c r="G177" s="583"/>
      <c r="H177" s="583"/>
      <c r="I177" s="583"/>
      <c r="J177" s="747"/>
      <c r="K177" s="747"/>
      <c r="L177" s="747"/>
      <c r="M177" s="747"/>
      <c r="N177" s="747"/>
      <c r="O177" s="747"/>
      <c r="P177" s="747"/>
      <c r="Q177" s="634"/>
      <c r="R177" s="634"/>
      <c r="S177" s="100">
        <v>2</v>
      </c>
      <c r="T177" s="101" t="s">
        <v>7</v>
      </c>
      <c r="U177" s="100">
        <v>0</v>
      </c>
      <c r="V177" s="634"/>
      <c r="W177" s="634"/>
      <c r="X177" s="747"/>
      <c r="Y177" s="747"/>
      <c r="Z177" s="747"/>
      <c r="AA177" s="747"/>
      <c r="AB177" s="747"/>
      <c r="AC177" s="747"/>
      <c r="AD177" s="747"/>
      <c r="AE177" s="583"/>
      <c r="AF177" s="583"/>
      <c r="AG177" s="583"/>
      <c r="AH177" s="583"/>
      <c r="AI177" s="761"/>
      <c r="AJ177" s="762"/>
      <c r="AK177" s="762"/>
      <c r="AL177" s="762"/>
      <c r="AM177" s="762"/>
      <c r="AN177" s="762"/>
      <c r="AO177" s="762"/>
      <c r="AP177" s="763"/>
      <c r="AR177" s="119"/>
      <c r="AS177" s="119"/>
      <c r="AU177" s="102"/>
      <c r="AV177" s="102"/>
    </row>
    <row r="178" spans="1:48" s="96" customFormat="1" ht="19.5" customHeight="1" x14ac:dyDescent="0.4">
      <c r="B178" s="586"/>
      <c r="C178" s="739"/>
      <c r="D178" s="740"/>
      <c r="E178" s="741"/>
      <c r="F178" s="704"/>
      <c r="G178" s="704"/>
      <c r="H178" s="704"/>
      <c r="I178" s="704"/>
      <c r="J178" s="701"/>
      <c r="K178" s="702"/>
      <c r="L178" s="702"/>
      <c r="M178" s="702"/>
      <c r="N178" s="702"/>
      <c r="O178" s="702"/>
      <c r="P178" s="702"/>
      <c r="Q178" s="705"/>
      <c r="R178" s="705"/>
      <c r="S178" s="109"/>
      <c r="T178" s="110"/>
      <c r="U178" s="109"/>
      <c r="V178" s="705"/>
      <c r="W178" s="705"/>
      <c r="X178" s="701"/>
      <c r="Y178" s="702"/>
      <c r="Z178" s="702"/>
      <c r="AA178" s="702"/>
      <c r="AB178" s="702"/>
      <c r="AC178" s="702"/>
      <c r="AD178" s="702"/>
      <c r="AE178" s="704"/>
      <c r="AF178" s="704"/>
      <c r="AG178" s="704"/>
      <c r="AH178" s="704"/>
      <c r="AI178" s="706"/>
      <c r="AJ178" s="707"/>
      <c r="AK178" s="707"/>
      <c r="AL178" s="707"/>
      <c r="AM178" s="707"/>
      <c r="AN178" s="707"/>
      <c r="AO178" s="707"/>
      <c r="AP178" s="707"/>
      <c r="AR178" s="119"/>
      <c r="AS178" s="119"/>
      <c r="AU178" s="102"/>
      <c r="AV178" s="102"/>
    </row>
    <row r="179" spans="1:48" s="96" customFormat="1" ht="19.5" customHeight="1" x14ac:dyDescent="0.4">
      <c r="B179" s="644"/>
      <c r="C179" s="648"/>
      <c r="D179" s="649"/>
      <c r="E179" s="650"/>
      <c r="F179" s="583"/>
      <c r="G179" s="583"/>
      <c r="H179" s="583"/>
      <c r="I179" s="583"/>
      <c r="J179" s="703"/>
      <c r="K179" s="703"/>
      <c r="L179" s="703"/>
      <c r="M179" s="703"/>
      <c r="N179" s="703"/>
      <c r="O179" s="703"/>
      <c r="P179" s="703"/>
      <c r="Q179" s="634"/>
      <c r="R179" s="634"/>
      <c r="S179" s="100"/>
      <c r="T179" s="101"/>
      <c r="U179" s="100"/>
      <c r="V179" s="634"/>
      <c r="W179" s="634"/>
      <c r="X179" s="703"/>
      <c r="Y179" s="703"/>
      <c r="Z179" s="703"/>
      <c r="AA179" s="703"/>
      <c r="AB179" s="703"/>
      <c r="AC179" s="703"/>
      <c r="AD179" s="703"/>
      <c r="AE179" s="583"/>
      <c r="AF179" s="583"/>
      <c r="AG179" s="583"/>
      <c r="AH179" s="583"/>
      <c r="AI179" s="708"/>
      <c r="AJ179" s="708"/>
      <c r="AK179" s="708"/>
      <c r="AL179" s="708"/>
      <c r="AM179" s="708"/>
      <c r="AN179" s="708"/>
      <c r="AO179" s="708"/>
      <c r="AP179" s="708"/>
      <c r="AR179" s="119"/>
      <c r="AS179" s="119"/>
      <c r="AU179" s="102"/>
      <c r="AV179" s="102"/>
    </row>
    <row r="180" spans="1:48" s="96" customFormat="1" ht="19.5" customHeight="1" x14ac:dyDescent="0.4">
      <c r="B180" s="585"/>
      <c r="C180" s="587"/>
      <c r="D180" s="588"/>
      <c r="E180" s="589"/>
      <c r="F180" s="622"/>
      <c r="G180" s="623"/>
      <c r="H180" s="623"/>
      <c r="I180" s="624"/>
      <c r="J180" s="689"/>
      <c r="K180" s="690"/>
      <c r="L180" s="690"/>
      <c r="M180" s="690"/>
      <c r="N180" s="690"/>
      <c r="O180" s="690"/>
      <c r="P180" s="691"/>
      <c r="Q180" s="628"/>
      <c r="R180" s="630"/>
      <c r="S180" s="100"/>
      <c r="T180" s="101"/>
      <c r="U180" s="100"/>
      <c r="V180" s="628"/>
      <c r="W180" s="630"/>
      <c r="X180" s="695"/>
      <c r="Y180" s="696"/>
      <c r="Z180" s="696"/>
      <c r="AA180" s="696"/>
      <c r="AB180" s="696"/>
      <c r="AC180" s="696"/>
      <c r="AD180" s="697"/>
      <c r="AE180" s="622"/>
      <c r="AF180" s="623"/>
      <c r="AG180" s="623"/>
      <c r="AH180" s="624"/>
      <c r="AI180" s="628"/>
      <c r="AJ180" s="629"/>
      <c r="AK180" s="629"/>
      <c r="AL180" s="629"/>
      <c r="AM180" s="629"/>
      <c r="AN180" s="629"/>
      <c r="AO180" s="629"/>
      <c r="AP180" s="630"/>
      <c r="AU180" s="102"/>
      <c r="AV180" s="102"/>
    </row>
    <row r="181" spans="1:48" s="96" customFormat="1" ht="19.5" customHeight="1" x14ac:dyDescent="0.4">
      <c r="B181" s="586"/>
      <c r="C181" s="590"/>
      <c r="D181" s="591"/>
      <c r="E181" s="592"/>
      <c r="F181" s="625"/>
      <c r="G181" s="626"/>
      <c r="H181" s="626"/>
      <c r="I181" s="627"/>
      <c r="J181" s="692"/>
      <c r="K181" s="693"/>
      <c r="L181" s="693"/>
      <c r="M181" s="693"/>
      <c r="N181" s="693"/>
      <c r="O181" s="693"/>
      <c r="P181" s="694"/>
      <c r="Q181" s="631"/>
      <c r="R181" s="633"/>
      <c r="S181" s="100"/>
      <c r="T181" s="101"/>
      <c r="U181" s="100"/>
      <c r="V181" s="631"/>
      <c r="W181" s="633"/>
      <c r="X181" s="698"/>
      <c r="Y181" s="699"/>
      <c r="Z181" s="699"/>
      <c r="AA181" s="699"/>
      <c r="AB181" s="699"/>
      <c r="AC181" s="699"/>
      <c r="AD181" s="700"/>
      <c r="AE181" s="625"/>
      <c r="AF181" s="626"/>
      <c r="AG181" s="626"/>
      <c r="AH181" s="627"/>
      <c r="AI181" s="631"/>
      <c r="AJ181" s="632"/>
      <c r="AK181" s="632"/>
      <c r="AL181" s="632"/>
      <c r="AM181" s="632"/>
      <c r="AN181" s="632"/>
      <c r="AO181" s="632"/>
      <c r="AP181" s="633"/>
      <c r="AU181" s="102"/>
      <c r="AV181" s="102"/>
    </row>
    <row r="182" spans="1:48" s="96" customFormat="1" ht="19.5" customHeight="1" x14ac:dyDescent="0.4">
      <c r="B182" s="585"/>
      <c r="C182" s="587"/>
      <c r="D182" s="588"/>
      <c r="E182" s="589"/>
      <c r="F182" s="622"/>
      <c r="G182" s="623"/>
      <c r="H182" s="623"/>
      <c r="I182" s="624"/>
      <c r="J182" s="689"/>
      <c r="K182" s="690"/>
      <c r="L182" s="690"/>
      <c r="M182" s="690"/>
      <c r="N182" s="690"/>
      <c r="O182" s="690"/>
      <c r="P182" s="691"/>
      <c r="Q182" s="628"/>
      <c r="R182" s="630"/>
      <c r="S182" s="100"/>
      <c r="T182" s="101"/>
      <c r="U182" s="100"/>
      <c r="V182" s="628"/>
      <c r="W182" s="630"/>
      <c r="X182" s="695"/>
      <c r="Y182" s="696"/>
      <c r="Z182" s="696"/>
      <c r="AA182" s="696"/>
      <c r="AB182" s="696"/>
      <c r="AC182" s="696"/>
      <c r="AD182" s="697"/>
      <c r="AE182" s="622"/>
      <c r="AF182" s="623"/>
      <c r="AG182" s="623"/>
      <c r="AH182" s="624"/>
      <c r="AI182" s="628"/>
      <c r="AJ182" s="629"/>
      <c r="AK182" s="629"/>
      <c r="AL182" s="629"/>
      <c r="AM182" s="629"/>
      <c r="AN182" s="629"/>
      <c r="AO182" s="629"/>
      <c r="AP182" s="630"/>
      <c r="AU182" s="102"/>
      <c r="AV182" s="102"/>
    </row>
    <row r="183" spans="1:48" s="96" customFormat="1" ht="19.5" customHeight="1" x14ac:dyDescent="0.4">
      <c r="B183" s="586"/>
      <c r="C183" s="590"/>
      <c r="D183" s="591"/>
      <c r="E183" s="592"/>
      <c r="F183" s="625"/>
      <c r="G183" s="626"/>
      <c r="H183" s="626"/>
      <c r="I183" s="627"/>
      <c r="J183" s="692"/>
      <c r="K183" s="693"/>
      <c r="L183" s="693"/>
      <c r="M183" s="693"/>
      <c r="N183" s="693"/>
      <c r="O183" s="693"/>
      <c r="P183" s="694"/>
      <c r="Q183" s="631"/>
      <c r="R183" s="633"/>
      <c r="S183" s="100"/>
      <c r="T183" s="101"/>
      <c r="U183" s="100"/>
      <c r="V183" s="631"/>
      <c r="W183" s="633"/>
      <c r="X183" s="698"/>
      <c r="Y183" s="699"/>
      <c r="Z183" s="699"/>
      <c r="AA183" s="699"/>
      <c r="AB183" s="699"/>
      <c r="AC183" s="699"/>
      <c r="AD183" s="700"/>
      <c r="AE183" s="625"/>
      <c r="AF183" s="626"/>
      <c r="AG183" s="626"/>
      <c r="AH183" s="627"/>
      <c r="AI183" s="631"/>
      <c r="AJ183" s="632"/>
      <c r="AK183" s="632"/>
      <c r="AL183" s="632"/>
      <c r="AM183" s="632"/>
      <c r="AN183" s="632"/>
      <c r="AO183" s="632"/>
      <c r="AP183" s="633"/>
      <c r="AU183" s="102"/>
      <c r="AV183" s="102"/>
    </row>
    <row r="184" spans="1:48" s="96" customFormat="1" ht="16.5" x14ac:dyDescent="0.4">
      <c r="B184" s="585"/>
      <c r="C184" s="587"/>
      <c r="D184" s="588"/>
      <c r="E184" s="589"/>
      <c r="F184" s="622"/>
      <c r="G184" s="623"/>
      <c r="H184" s="623"/>
      <c r="I184" s="624"/>
      <c r="J184" s="689"/>
      <c r="K184" s="690"/>
      <c r="L184" s="690"/>
      <c r="M184" s="690"/>
      <c r="N184" s="690"/>
      <c r="O184" s="690"/>
      <c r="P184" s="691"/>
      <c r="Q184" s="628"/>
      <c r="R184" s="630"/>
      <c r="S184" s="100"/>
      <c r="T184" s="101"/>
      <c r="U184" s="100"/>
      <c r="V184" s="628"/>
      <c r="W184" s="630"/>
      <c r="X184" s="695"/>
      <c r="Y184" s="696"/>
      <c r="Z184" s="696"/>
      <c r="AA184" s="696"/>
      <c r="AB184" s="696"/>
      <c r="AC184" s="696"/>
      <c r="AD184" s="697"/>
      <c r="AE184" s="622"/>
      <c r="AF184" s="623"/>
      <c r="AG184" s="623"/>
      <c r="AH184" s="624"/>
      <c r="AI184" s="628"/>
      <c r="AJ184" s="629"/>
      <c r="AK184" s="629"/>
      <c r="AL184" s="629"/>
      <c r="AM184" s="629"/>
      <c r="AN184" s="629"/>
      <c r="AO184" s="629"/>
      <c r="AP184" s="630"/>
      <c r="AU184" s="102"/>
      <c r="AV184" s="102"/>
    </row>
    <row r="185" spans="1:48" s="96" customFormat="1" ht="16.5" x14ac:dyDescent="0.4">
      <c r="B185" s="586"/>
      <c r="C185" s="590"/>
      <c r="D185" s="591"/>
      <c r="E185" s="592"/>
      <c r="F185" s="625"/>
      <c r="G185" s="626"/>
      <c r="H185" s="626"/>
      <c r="I185" s="627"/>
      <c r="J185" s="692"/>
      <c r="K185" s="693"/>
      <c r="L185" s="693"/>
      <c r="M185" s="693"/>
      <c r="N185" s="693"/>
      <c r="O185" s="693"/>
      <c r="P185" s="694"/>
      <c r="Q185" s="631"/>
      <c r="R185" s="633"/>
      <c r="S185" s="100"/>
      <c r="T185" s="101"/>
      <c r="U185" s="100"/>
      <c r="V185" s="631"/>
      <c r="W185" s="633"/>
      <c r="X185" s="698"/>
      <c r="Y185" s="699"/>
      <c r="Z185" s="699"/>
      <c r="AA185" s="699"/>
      <c r="AB185" s="699"/>
      <c r="AC185" s="699"/>
      <c r="AD185" s="700"/>
      <c r="AE185" s="625"/>
      <c r="AF185" s="626"/>
      <c r="AG185" s="626"/>
      <c r="AH185" s="627"/>
      <c r="AI185" s="631"/>
      <c r="AJ185" s="632"/>
      <c r="AK185" s="632"/>
      <c r="AL185" s="632"/>
      <c r="AM185" s="632"/>
      <c r="AN185" s="632"/>
      <c r="AO185" s="632"/>
      <c r="AP185" s="633"/>
      <c r="AU185" s="102"/>
      <c r="AV185" s="102"/>
    </row>
    <row r="186" spans="1:48" s="96" customFormat="1" ht="20.25" thickBot="1" x14ac:dyDescent="0.45">
      <c r="A186" s="102"/>
      <c r="B186" s="103"/>
      <c r="C186" s="104"/>
      <c r="D186" s="104"/>
      <c r="E186" s="104"/>
      <c r="F186" s="103"/>
      <c r="G186" s="103"/>
      <c r="H186" s="103"/>
      <c r="I186" s="103"/>
      <c r="J186" s="103"/>
      <c r="K186" s="105"/>
      <c r="L186" s="105"/>
      <c r="M186" s="106"/>
      <c r="N186" s="107"/>
      <c r="O186" s="106"/>
      <c r="P186" s="105"/>
      <c r="Q186" s="105"/>
      <c r="R186" s="103"/>
      <c r="S186" s="103"/>
      <c r="T186" s="103"/>
      <c r="U186" s="103"/>
      <c r="V186" s="103"/>
      <c r="W186" s="108"/>
      <c r="X186" s="108"/>
      <c r="Y186" s="108"/>
      <c r="Z186" s="108"/>
      <c r="AA186" s="108"/>
      <c r="AB186" s="108"/>
      <c r="AC186" s="102"/>
      <c r="AU186" s="102"/>
      <c r="AV186" s="102"/>
    </row>
    <row r="187" spans="1:48" s="96" customFormat="1" ht="20.25" thickBot="1" x14ac:dyDescent="0.45">
      <c r="D187" s="664" t="s">
        <v>8</v>
      </c>
      <c r="E187" s="665"/>
      <c r="F187" s="665"/>
      <c r="G187" s="665"/>
      <c r="H187" s="665"/>
      <c r="I187" s="666"/>
      <c r="J187" s="667" t="s">
        <v>5</v>
      </c>
      <c r="K187" s="665"/>
      <c r="L187" s="665"/>
      <c r="M187" s="665"/>
      <c r="N187" s="665"/>
      <c r="O187" s="665"/>
      <c r="P187" s="665"/>
      <c r="Q187" s="666"/>
      <c r="R187" s="668" t="s">
        <v>9</v>
      </c>
      <c r="S187" s="669"/>
      <c r="T187" s="669"/>
      <c r="U187" s="669"/>
      <c r="V187" s="669"/>
      <c r="W187" s="669"/>
      <c r="X187" s="669"/>
      <c r="Y187" s="669"/>
      <c r="Z187" s="670"/>
      <c r="AA187" s="609" t="s">
        <v>10</v>
      </c>
      <c r="AB187" s="610"/>
      <c r="AC187" s="671"/>
      <c r="AD187" s="609" t="s">
        <v>11</v>
      </c>
      <c r="AE187" s="610"/>
      <c r="AF187" s="610"/>
      <c r="AG187" s="610"/>
      <c r="AH187" s="610"/>
      <c r="AI187" s="610"/>
      <c r="AJ187" s="610"/>
      <c r="AK187" s="610"/>
      <c r="AL187" s="610"/>
      <c r="AM187" s="611"/>
      <c r="AU187" s="102"/>
      <c r="AV187" s="102"/>
    </row>
    <row r="188" spans="1:48" s="96" customFormat="1" ht="28.5" customHeight="1" x14ac:dyDescent="0.4">
      <c r="D188" s="651" t="s">
        <v>298</v>
      </c>
      <c r="E188" s="652"/>
      <c r="F188" s="652"/>
      <c r="G188" s="652"/>
      <c r="H188" s="652"/>
      <c r="I188" s="653"/>
      <c r="J188" s="654"/>
      <c r="K188" s="652"/>
      <c r="L188" s="652"/>
      <c r="M188" s="652"/>
      <c r="N188" s="652"/>
      <c r="O188" s="652"/>
      <c r="P188" s="652"/>
      <c r="Q188" s="653"/>
      <c r="R188" s="655"/>
      <c r="S188" s="656"/>
      <c r="T188" s="656"/>
      <c r="U188" s="656"/>
      <c r="V188" s="656"/>
      <c r="W188" s="656"/>
      <c r="X188" s="656"/>
      <c r="Y188" s="656"/>
      <c r="Z188" s="657"/>
      <c r="AA188" s="658"/>
      <c r="AB188" s="659"/>
      <c r="AC188" s="660"/>
      <c r="AD188" s="661"/>
      <c r="AE188" s="662"/>
      <c r="AF188" s="662"/>
      <c r="AG188" s="662"/>
      <c r="AH188" s="662"/>
      <c r="AI188" s="662"/>
      <c r="AJ188" s="662"/>
      <c r="AK188" s="662"/>
      <c r="AL188" s="662"/>
      <c r="AM188" s="663"/>
      <c r="AU188" s="102"/>
      <c r="AV188" s="102"/>
    </row>
    <row r="189" spans="1:48" s="96" customFormat="1" ht="28.5" customHeight="1" x14ac:dyDescent="0.4">
      <c r="D189" s="688" t="s">
        <v>12</v>
      </c>
      <c r="E189" s="604"/>
      <c r="F189" s="604"/>
      <c r="G189" s="604"/>
      <c r="H189" s="604"/>
      <c r="I189" s="605"/>
      <c r="J189" s="603"/>
      <c r="K189" s="604"/>
      <c r="L189" s="604"/>
      <c r="M189" s="604"/>
      <c r="N189" s="604"/>
      <c r="O189" s="604"/>
      <c r="P189" s="604"/>
      <c r="Q189" s="605"/>
      <c r="R189" s="606"/>
      <c r="S189" s="607"/>
      <c r="T189" s="607"/>
      <c r="U189" s="607"/>
      <c r="V189" s="607"/>
      <c r="W189" s="607"/>
      <c r="X189" s="607"/>
      <c r="Y189" s="607"/>
      <c r="Z189" s="608"/>
      <c r="AA189" s="606"/>
      <c r="AB189" s="607"/>
      <c r="AC189" s="608"/>
      <c r="AD189" s="672"/>
      <c r="AE189" s="673"/>
      <c r="AF189" s="673"/>
      <c r="AG189" s="673"/>
      <c r="AH189" s="673"/>
      <c r="AI189" s="673"/>
      <c r="AJ189" s="673"/>
      <c r="AK189" s="673"/>
      <c r="AL189" s="673"/>
      <c r="AM189" s="674"/>
      <c r="AU189" s="102"/>
      <c r="AV189" s="102"/>
    </row>
    <row r="190" spans="1:48" s="96" customFormat="1" ht="28.5" customHeight="1" thickBot="1" x14ac:dyDescent="0.45">
      <c r="D190" s="675" t="s">
        <v>12</v>
      </c>
      <c r="E190" s="676"/>
      <c r="F190" s="676"/>
      <c r="G190" s="676"/>
      <c r="H190" s="676"/>
      <c r="I190" s="677"/>
      <c r="J190" s="678"/>
      <c r="K190" s="676"/>
      <c r="L190" s="676"/>
      <c r="M190" s="676"/>
      <c r="N190" s="676"/>
      <c r="O190" s="676"/>
      <c r="P190" s="676"/>
      <c r="Q190" s="677"/>
      <c r="R190" s="679"/>
      <c r="S190" s="680"/>
      <c r="T190" s="680"/>
      <c r="U190" s="680"/>
      <c r="V190" s="680"/>
      <c r="W190" s="680"/>
      <c r="X190" s="680"/>
      <c r="Y190" s="680"/>
      <c r="Z190" s="681"/>
      <c r="AA190" s="682"/>
      <c r="AB190" s="683"/>
      <c r="AC190" s="684"/>
      <c r="AD190" s="685"/>
      <c r="AE190" s="686"/>
      <c r="AF190" s="686"/>
      <c r="AG190" s="686"/>
      <c r="AH190" s="686"/>
      <c r="AI190" s="686"/>
      <c r="AJ190" s="686"/>
      <c r="AK190" s="686"/>
      <c r="AL190" s="686"/>
      <c r="AM190" s="687"/>
      <c r="AU190" s="102"/>
      <c r="AV190" s="102"/>
    </row>
    <row r="191" spans="1:48" s="96" customFormat="1" ht="15.75" x14ac:dyDescent="0.4">
      <c r="AU191" s="102"/>
      <c r="AV191" s="102"/>
    </row>
    <row r="192" spans="1:48" s="96" customFormat="1" ht="27.75" customHeight="1" x14ac:dyDescent="0.4">
      <c r="A192" s="115"/>
      <c r="B192" s="599" t="str">
        <f>U12組合せ!$B$1</f>
        <v>ＪＦＡ　Ｕ-１２サッカーリーグ2021（in栃木） 宇都宮地区リーグ戦（前期）</v>
      </c>
      <c r="C192" s="599"/>
      <c r="D192" s="599"/>
      <c r="E192" s="599"/>
      <c r="F192" s="599"/>
      <c r="G192" s="599"/>
      <c r="H192" s="599"/>
      <c r="I192" s="599"/>
      <c r="J192" s="599"/>
      <c r="K192" s="599"/>
      <c r="L192" s="599"/>
      <c r="M192" s="599"/>
      <c r="N192" s="599"/>
      <c r="O192" s="599"/>
      <c r="P192" s="599"/>
      <c r="Q192" s="599"/>
      <c r="R192" s="599"/>
      <c r="S192" s="599"/>
      <c r="T192" s="599"/>
      <c r="U192" s="599"/>
      <c r="V192" s="599"/>
      <c r="W192" s="599"/>
      <c r="X192" s="599"/>
      <c r="Y192" s="599"/>
      <c r="Z192" s="599"/>
      <c r="AA192" s="599"/>
      <c r="AB192" s="599"/>
      <c r="AC192" s="612" t="str">
        <f>"【"&amp;(U12組合せ!$J$3)&amp;"】"</f>
        <v>【Ｄ ブロック】</v>
      </c>
      <c r="AD192" s="612"/>
      <c r="AE192" s="612"/>
      <c r="AF192" s="612"/>
      <c r="AG192" s="612"/>
      <c r="AH192" s="612"/>
      <c r="AI192" s="612"/>
      <c r="AJ192" s="612"/>
      <c r="AK192" s="602" t="str">
        <f>"第"&amp;(U12組合せ!$D$33)</f>
        <v>第３節</v>
      </c>
      <c r="AL192" s="602"/>
      <c r="AM192" s="602"/>
      <c r="AN192" s="602"/>
      <c r="AO192" s="602"/>
      <c r="AP192" s="597" t="s">
        <v>331</v>
      </c>
      <c r="AQ192" s="598"/>
      <c r="AU192" s="102"/>
      <c r="AV192" s="102"/>
    </row>
    <row r="193" spans="1:48" s="96" customFormat="1" ht="15" customHeight="1" x14ac:dyDescent="0.4">
      <c r="A193" s="115"/>
      <c r="B193" s="599"/>
      <c r="C193" s="599"/>
      <c r="D193" s="599"/>
      <c r="E193" s="599"/>
      <c r="F193" s="599"/>
      <c r="G193" s="599"/>
      <c r="H193" s="599"/>
      <c r="I193" s="599"/>
      <c r="J193" s="599"/>
      <c r="K193" s="599"/>
      <c r="L193" s="599"/>
      <c r="M193" s="599"/>
      <c r="N193" s="599"/>
      <c r="O193" s="599"/>
      <c r="P193" s="599"/>
      <c r="Q193" s="599"/>
      <c r="R193" s="599"/>
      <c r="S193" s="599"/>
      <c r="T193" s="599"/>
      <c r="U193" s="599"/>
      <c r="V193" s="599"/>
      <c r="W193" s="599"/>
      <c r="X193" s="599"/>
      <c r="Y193" s="599"/>
      <c r="Z193" s="599"/>
      <c r="AA193" s="599"/>
      <c r="AB193" s="599"/>
      <c r="AC193" s="601"/>
      <c r="AD193" s="601"/>
      <c r="AE193" s="601"/>
      <c r="AF193" s="601"/>
      <c r="AG193" s="601"/>
      <c r="AH193" s="601"/>
      <c r="AI193" s="601"/>
      <c r="AJ193" s="601"/>
      <c r="AK193" s="601"/>
      <c r="AL193" s="601"/>
      <c r="AM193" s="601"/>
      <c r="AN193" s="601"/>
      <c r="AO193" s="612"/>
      <c r="AP193" s="598"/>
      <c r="AQ193" s="598"/>
      <c r="AU193" s="102"/>
      <c r="AV193" s="102"/>
    </row>
    <row r="194" spans="1:48" s="96" customFormat="1" ht="29.25" customHeight="1" x14ac:dyDescent="0.4">
      <c r="C194" s="635" t="s">
        <v>1</v>
      </c>
      <c r="D194" s="635"/>
      <c r="E194" s="635"/>
      <c r="F194" s="635"/>
      <c r="G194" s="725" t="str">
        <f>U12対戦スケジュール!U54</f>
        <v>GP白沢 南 AM</v>
      </c>
      <c r="H194" s="726"/>
      <c r="I194" s="726"/>
      <c r="J194" s="726"/>
      <c r="K194" s="726"/>
      <c r="L194" s="726"/>
      <c r="M194" s="726"/>
      <c r="N194" s="726"/>
      <c r="O194" s="727"/>
      <c r="P194" s="635" t="s">
        <v>0</v>
      </c>
      <c r="Q194" s="635"/>
      <c r="R194" s="635"/>
      <c r="S194" s="635"/>
      <c r="T194" s="725" t="str">
        <f>AG196</f>
        <v>ジュベニール</v>
      </c>
      <c r="U194" s="726"/>
      <c r="V194" s="726"/>
      <c r="W194" s="726"/>
      <c r="X194" s="726"/>
      <c r="Y194" s="726"/>
      <c r="Z194" s="726"/>
      <c r="AA194" s="726"/>
      <c r="AB194" s="727"/>
      <c r="AC194" s="635" t="s">
        <v>2</v>
      </c>
      <c r="AD194" s="635"/>
      <c r="AE194" s="635"/>
      <c r="AF194" s="635"/>
      <c r="AG194" s="618">
        <f>U12組合せ!B$33</f>
        <v>44325</v>
      </c>
      <c r="AH194" s="619"/>
      <c r="AI194" s="619"/>
      <c r="AJ194" s="619"/>
      <c r="AK194" s="619"/>
      <c r="AL194" s="619"/>
      <c r="AM194" s="620" t="str">
        <f>"（"&amp;TEXT(AG194,"aaa")&amp;"）"</f>
        <v>（日）</v>
      </c>
      <c r="AN194" s="620"/>
      <c r="AO194" s="621"/>
      <c r="AP194" s="116"/>
      <c r="AR194" s="96">
        <f>204/2</f>
        <v>102</v>
      </c>
      <c r="AU194" s="102"/>
      <c r="AV194" s="102"/>
    </row>
    <row r="195" spans="1:48" s="96" customFormat="1" ht="17.25" customHeight="1" x14ac:dyDescent="0.4">
      <c r="C195" s="96" t="str">
        <f>U12組合せ!K34</f>
        <v>D159</v>
      </c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95"/>
      <c r="X195" s="95"/>
      <c r="Y195" s="95"/>
      <c r="Z195" s="95"/>
      <c r="AA195" s="95"/>
      <c r="AB195" s="95"/>
      <c r="AC195" s="95"/>
      <c r="AR195" s="96">
        <v>56</v>
      </c>
      <c r="AU195" s="102"/>
      <c r="AV195" s="102"/>
    </row>
    <row r="196" spans="1:48" s="96" customFormat="1" ht="30.75" customHeight="1" x14ac:dyDescent="0.4">
      <c r="C196" s="636" t="s">
        <v>518</v>
      </c>
      <c r="D196" s="636"/>
      <c r="E196" s="709" t="s">
        <v>536</v>
      </c>
      <c r="F196" s="709"/>
      <c r="G196" s="709"/>
      <c r="H196" s="709"/>
      <c r="I196" s="709"/>
      <c r="J196" s="709"/>
      <c r="K196" s="709"/>
      <c r="L196" s="709"/>
      <c r="M196" s="709"/>
      <c r="N196" s="709"/>
      <c r="O196" s="94"/>
      <c r="P196" s="94"/>
      <c r="Q196" s="636" t="s">
        <v>519</v>
      </c>
      <c r="R196" s="636"/>
      <c r="S196" s="709" t="s">
        <v>537</v>
      </c>
      <c r="T196" s="709"/>
      <c r="U196" s="709"/>
      <c r="V196" s="709"/>
      <c r="W196" s="709"/>
      <c r="X196" s="709"/>
      <c r="Y196" s="709"/>
      <c r="Z196" s="709"/>
      <c r="AA196" s="709"/>
      <c r="AB196" s="709"/>
      <c r="AC196" s="92"/>
      <c r="AD196" s="93"/>
      <c r="AE196" s="636" t="s">
        <v>517</v>
      </c>
      <c r="AF196" s="636"/>
      <c r="AG196" s="709" t="s">
        <v>538</v>
      </c>
      <c r="AH196" s="709"/>
      <c r="AI196" s="709"/>
      <c r="AJ196" s="709"/>
      <c r="AK196" s="709"/>
      <c r="AL196" s="709"/>
      <c r="AM196" s="709"/>
      <c r="AN196" s="709"/>
      <c r="AO196" s="709"/>
      <c r="AP196" s="709"/>
      <c r="AR196" s="96">
        <f>AR194-AR195</f>
        <v>46</v>
      </c>
      <c r="AU196" s="102"/>
      <c r="AV196" s="102"/>
    </row>
    <row r="197" spans="1:48" s="96" customFormat="1" ht="30.75" customHeight="1" x14ac:dyDescent="0.4">
      <c r="C197" s="636" t="s">
        <v>513</v>
      </c>
      <c r="D197" s="636"/>
      <c r="E197" s="584" t="s">
        <v>539</v>
      </c>
      <c r="F197" s="584"/>
      <c r="G197" s="584"/>
      <c r="H197" s="584"/>
      <c r="I197" s="584"/>
      <c r="J197" s="584"/>
      <c r="K197" s="584"/>
      <c r="L197" s="584"/>
      <c r="M197" s="584"/>
      <c r="N197" s="584"/>
      <c r="O197" s="94"/>
      <c r="P197" s="94"/>
      <c r="Q197" s="637" t="s">
        <v>546</v>
      </c>
      <c r="R197" s="637"/>
      <c r="S197" s="584" t="s">
        <v>540</v>
      </c>
      <c r="T197" s="584"/>
      <c r="U197" s="584"/>
      <c r="V197" s="584"/>
      <c r="W197" s="584"/>
      <c r="X197" s="584"/>
      <c r="Y197" s="584"/>
      <c r="Z197" s="584"/>
      <c r="AA197" s="584"/>
      <c r="AB197" s="584"/>
      <c r="AC197" s="92"/>
      <c r="AD197" s="93"/>
      <c r="AE197" s="710" t="s">
        <v>464</v>
      </c>
      <c r="AF197" s="710"/>
      <c r="AG197" s="638" t="s">
        <v>526</v>
      </c>
      <c r="AH197" s="638"/>
      <c r="AI197" s="638"/>
      <c r="AJ197" s="638"/>
      <c r="AK197" s="638"/>
      <c r="AL197" s="638"/>
      <c r="AM197" s="638"/>
      <c r="AN197" s="638"/>
      <c r="AO197" s="638"/>
      <c r="AP197" s="638"/>
      <c r="AU197" s="102"/>
      <c r="AV197" s="102"/>
    </row>
    <row r="198" spans="1:48" s="96" customFormat="1" ht="30.75" customHeight="1" x14ac:dyDescent="0.4">
      <c r="C198" s="636" t="s">
        <v>545</v>
      </c>
      <c r="D198" s="636"/>
      <c r="E198" s="584" t="s">
        <v>541</v>
      </c>
      <c r="F198" s="584"/>
      <c r="G198" s="584"/>
      <c r="H198" s="584"/>
      <c r="I198" s="584"/>
      <c r="J198" s="584"/>
      <c r="K198" s="584"/>
      <c r="L198" s="584"/>
      <c r="M198" s="584"/>
      <c r="N198" s="584"/>
      <c r="O198" s="94"/>
      <c r="P198" s="94"/>
      <c r="Q198" s="637" t="s">
        <v>547</v>
      </c>
      <c r="R198" s="637"/>
      <c r="S198" s="584" t="s">
        <v>542</v>
      </c>
      <c r="T198" s="584"/>
      <c r="U198" s="584"/>
      <c r="V198" s="584"/>
      <c r="W198" s="584"/>
      <c r="X198" s="584"/>
      <c r="Y198" s="584"/>
      <c r="Z198" s="584"/>
      <c r="AA198" s="584"/>
      <c r="AB198" s="584"/>
      <c r="AC198" s="92"/>
      <c r="AD198" s="93"/>
      <c r="AE198" s="710" t="s">
        <v>468</v>
      </c>
      <c r="AF198" s="710"/>
      <c r="AG198" s="638" t="s">
        <v>503</v>
      </c>
      <c r="AH198" s="638"/>
      <c r="AI198" s="638"/>
      <c r="AJ198" s="638"/>
      <c r="AK198" s="638"/>
      <c r="AL198" s="638"/>
      <c r="AM198" s="638"/>
      <c r="AN198" s="638"/>
      <c r="AO198" s="638"/>
      <c r="AP198" s="638"/>
      <c r="AU198" s="102"/>
      <c r="AV198" s="102"/>
    </row>
    <row r="199" spans="1:48" s="96" customFormat="1" ht="30.75" customHeight="1" x14ac:dyDescent="0.4">
      <c r="C199" s="636" t="s">
        <v>515</v>
      </c>
      <c r="D199" s="636"/>
      <c r="E199" s="584" t="s">
        <v>543</v>
      </c>
      <c r="F199" s="584"/>
      <c r="G199" s="584"/>
      <c r="H199" s="584"/>
      <c r="I199" s="584"/>
      <c r="J199" s="584"/>
      <c r="K199" s="584"/>
      <c r="L199" s="584"/>
      <c r="M199" s="584"/>
      <c r="N199" s="584"/>
      <c r="O199" s="94"/>
      <c r="P199" s="94"/>
      <c r="Q199" s="637" t="s">
        <v>548</v>
      </c>
      <c r="R199" s="637"/>
      <c r="S199" s="584" t="s">
        <v>544</v>
      </c>
      <c r="T199" s="584"/>
      <c r="U199" s="584"/>
      <c r="V199" s="584"/>
      <c r="W199" s="584"/>
      <c r="X199" s="584"/>
      <c r="Y199" s="584"/>
      <c r="Z199" s="584"/>
      <c r="AA199" s="584"/>
      <c r="AB199" s="584"/>
      <c r="AC199" s="92"/>
      <c r="AD199" s="93"/>
      <c r="AE199" s="710" t="s">
        <v>535</v>
      </c>
      <c r="AF199" s="710"/>
      <c r="AG199" s="638" t="s">
        <v>530</v>
      </c>
      <c r="AH199" s="638"/>
      <c r="AI199" s="638"/>
      <c r="AJ199" s="638"/>
      <c r="AK199" s="638"/>
      <c r="AL199" s="638"/>
      <c r="AM199" s="638"/>
      <c r="AN199" s="638"/>
      <c r="AO199" s="638"/>
      <c r="AP199" s="638"/>
      <c r="AU199" s="102"/>
      <c r="AV199" s="102"/>
    </row>
    <row r="200" spans="1:48" s="96" customFormat="1" ht="12.75" customHeight="1" x14ac:dyDescent="0.4">
      <c r="B200" s="102"/>
      <c r="O200" s="102"/>
      <c r="P200" s="102"/>
      <c r="AU200" s="102"/>
      <c r="AV200" s="102"/>
    </row>
    <row r="201" spans="1:48" s="96" customFormat="1" ht="6" customHeight="1" x14ac:dyDescent="0.4">
      <c r="C201" s="117"/>
      <c r="D201" s="118"/>
      <c r="E201" s="118"/>
      <c r="F201" s="118"/>
      <c r="G201" s="118"/>
      <c r="H201" s="118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18"/>
      <c r="U201" s="102"/>
      <c r="V201" s="118"/>
      <c r="W201" s="102"/>
      <c r="X201" s="118"/>
      <c r="Y201" s="102"/>
      <c r="Z201" s="118"/>
      <c r="AA201" s="102"/>
      <c r="AB201" s="118"/>
      <c r="AC201" s="118"/>
      <c r="AU201" s="102"/>
      <c r="AV201" s="102"/>
    </row>
    <row r="202" spans="1:48" s="96" customFormat="1" ht="21.75" customHeight="1" x14ac:dyDescent="0.4">
      <c r="B202" s="118" t="str">
        <f ca="1">IF(B204="①","【監督会議 8：20～】","【監督会議 12：50～】")</f>
        <v>【監督会議 8：20～】</v>
      </c>
      <c r="I202" s="96" t="s">
        <v>330</v>
      </c>
      <c r="AU202" s="102"/>
      <c r="AV202" s="102"/>
    </row>
    <row r="203" spans="1:48" s="96" customFormat="1" ht="19.5" customHeight="1" x14ac:dyDescent="0.4">
      <c r="B203" s="97"/>
      <c r="C203" s="711" t="s">
        <v>3</v>
      </c>
      <c r="D203" s="711"/>
      <c r="E203" s="711"/>
      <c r="F203" s="712" t="s">
        <v>4</v>
      </c>
      <c r="G203" s="712"/>
      <c r="H203" s="712"/>
      <c r="I203" s="712"/>
      <c r="J203" s="711" t="s">
        <v>5</v>
      </c>
      <c r="K203" s="713"/>
      <c r="L203" s="713"/>
      <c r="M203" s="713"/>
      <c r="N203" s="713"/>
      <c r="O203" s="713"/>
      <c r="P203" s="713"/>
      <c r="Q203" s="711" t="s">
        <v>32</v>
      </c>
      <c r="R203" s="711"/>
      <c r="S203" s="711"/>
      <c r="T203" s="711"/>
      <c r="U203" s="711"/>
      <c r="V203" s="711"/>
      <c r="W203" s="711"/>
      <c r="X203" s="711" t="s">
        <v>5</v>
      </c>
      <c r="Y203" s="713"/>
      <c r="Z203" s="713"/>
      <c r="AA203" s="713"/>
      <c r="AB203" s="713"/>
      <c r="AC203" s="713"/>
      <c r="AD203" s="713"/>
      <c r="AE203" s="712" t="s">
        <v>4</v>
      </c>
      <c r="AF203" s="712"/>
      <c r="AG203" s="712"/>
      <c r="AH203" s="712"/>
      <c r="AI203" s="711" t="s">
        <v>6</v>
      </c>
      <c r="AJ203" s="711"/>
      <c r="AK203" s="713"/>
      <c r="AL203" s="713"/>
      <c r="AM203" s="713"/>
      <c r="AN203" s="713"/>
      <c r="AO203" s="713"/>
      <c r="AP203" s="713"/>
      <c r="AU203" s="102"/>
      <c r="AV203" s="102"/>
    </row>
    <row r="204" spans="1:48" s="96" customFormat="1" ht="19.5" customHeight="1" x14ac:dyDescent="0.4">
      <c r="B204" s="644" t="str">
        <f ca="1">DBCS(INDIRECT("U12対戦スケジュール!s"&amp;(ROW())/2-AR$196))</f>
        <v>①</v>
      </c>
      <c r="C204" s="645">
        <f ca="1">INDIRECT("U12対戦スケジュール!t"&amp;(ROW())/2-AR$196)</f>
        <v>0.375</v>
      </c>
      <c r="D204" s="646"/>
      <c r="E204" s="647"/>
      <c r="F204" s="583"/>
      <c r="G204" s="583"/>
      <c r="H204" s="583"/>
      <c r="I204" s="583"/>
      <c r="J204" s="746" t="str">
        <f ca="1">VLOOKUP(AR204,U12組合せ!B$10:K$19,9,TRUE)</f>
        <v>FCブロケード</v>
      </c>
      <c r="K204" s="747"/>
      <c r="L204" s="747"/>
      <c r="M204" s="747"/>
      <c r="N204" s="747"/>
      <c r="O204" s="747"/>
      <c r="P204" s="747"/>
      <c r="Q204" s="628">
        <f>IF(OR(S204="",S205=""),"",S204+S205)</f>
        <v>1</v>
      </c>
      <c r="R204" s="630"/>
      <c r="S204" s="100">
        <v>1</v>
      </c>
      <c r="T204" s="101" t="s">
        <v>7</v>
      </c>
      <c r="U204" s="100">
        <v>0</v>
      </c>
      <c r="V204" s="628">
        <f>IF(OR(U204="",U205=""),"",U204+U205)</f>
        <v>0</v>
      </c>
      <c r="W204" s="630"/>
      <c r="X204" s="746" t="str">
        <f ca="1">VLOOKUP(AS204,U12組合せ!B$10:K$19,9,TRUE)</f>
        <v>ウエストフットコムU11</v>
      </c>
      <c r="Y204" s="747"/>
      <c r="Z204" s="747"/>
      <c r="AA204" s="747"/>
      <c r="AB204" s="747"/>
      <c r="AC204" s="747"/>
      <c r="AD204" s="747"/>
      <c r="AE204" s="583"/>
      <c r="AF204" s="583"/>
      <c r="AG204" s="583"/>
      <c r="AH204" s="583"/>
      <c r="AI204" s="758" t="str">
        <f ca="1">DBCS(INDIRECT("U12対戦スケジュール!x"&amp;(ROW())/2-AR$196))</f>
        <v>Ｄ９／Ｃ２／Ｃ４／Ｄ９</v>
      </c>
      <c r="AJ204" s="759"/>
      <c r="AK204" s="759"/>
      <c r="AL204" s="759"/>
      <c r="AM204" s="759"/>
      <c r="AN204" s="759"/>
      <c r="AO204" s="759"/>
      <c r="AP204" s="760"/>
      <c r="AR204" s="119">
        <f ca="1">INDIRECT("U12対戦スケジュール!U"&amp;(ROW())/2-AR$196)</f>
        <v>1</v>
      </c>
      <c r="AS204" s="119">
        <f ca="1">INDIRECT("U12対戦スケジュール!W"&amp;(ROW())/2-AR$196)</f>
        <v>5</v>
      </c>
      <c r="AU204" s="102"/>
      <c r="AV204" s="102"/>
    </row>
    <row r="205" spans="1:48" s="96" customFormat="1" ht="19.5" customHeight="1" x14ac:dyDescent="0.4">
      <c r="B205" s="644"/>
      <c r="C205" s="648"/>
      <c r="D205" s="649"/>
      <c r="E205" s="650"/>
      <c r="F205" s="583"/>
      <c r="G205" s="583"/>
      <c r="H205" s="583"/>
      <c r="I205" s="583"/>
      <c r="J205" s="747"/>
      <c r="K205" s="747"/>
      <c r="L205" s="747"/>
      <c r="M205" s="747"/>
      <c r="N205" s="747"/>
      <c r="O205" s="747"/>
      <c r="P205" s="747"/>
      <c r="Q205" s="631"/>
      <c r="R205" s="633"/>
      <c r="S205" s="100">
        <v>0</v>
      </c>
      <c r="T205" s="101" t="s">
        <v>7</v>
      </c>
      <c r="U205" s="100">
        <v>0</v>
      </c>
      <c r="V205" s="631"/>
      <c r="W205" s="633"/>
      <c r="X205" s="747"/>
      <c r="Y205" s="747"/>
      <c r="Z205" s="747"/>
      <c r="AA205" s="747"/>
      <c r="AB205" s="747"/>
      <c r="AC205" s="747"/>
      <c r="AD205" s="747"/>
      <c r="AE205" s="583"/>
      <c r="AF205" s="583"/>
      <c r="AG205" s="583"/>
      <c r="AH205" s="583"/>
      <c r="AI205" s="761"/>
      <c r="AJ205" s="762"/>
      <c r="AK205" s="762"/>
      <c r="AL205" s="762"/>
      <c r="AM205" s="762"/>
      <c r="AN205" s="762"/>
      <c r="AO205" s="762"/>
      <c r="AP205" s="763"/>
      <c r="AR205" s="119"/>
      <c r="AS205" s="119"/>
      <c r="AU205" s="102"/>
      <c r="AV205" s="102"/>
    </row>
    <row r="206" spans="1:48" s="96" customFormat="1" ht="19.5" customHeight="1" x14ac:dyDescent="0.4">
      <c r="B206" s="644" t="str">
        <f t="shared" ref="B206" ca="1" si="2">DBCS(INDIRECT("U12対戦スケジュール!s"&amp;(ROW())/2-AR$196))</f>
        <v>②</v>
      </c>
      <c r="C206" s="645">
        <f t="shared" ref="C206" ca="1" si="3">INDIRECT("U12対戦スケジュール!t"&amp;(ROW())/2-AR$196)</f>
        <v>0.41699999999999998</v>
      </c>
      <c r="D206" s="646"/>
      <c r="E206" s="647"/>
      <c r="F206" s="583"/>
      <c r="G206" s="583"/>
      <c r="H206" s="583"/>
      <c r="I206" s="583"/>
      <c r="J206" s="746" t="str">
        <f ca="1">VLOOKUP(AR206,U12組合せ!B$10:K$19,9,TRUE)</f>
        <v>ジュベニール</v>
      </c>
      <c r="K206" s="747"/>
      <c r="L206" s="747"/>
      <c r="M206" s="747"/>
      <c r="N206" s="747"/>
      <c r="O206" s="747"/>
      <c r="P206" s="747"/>
      <c r="Q206" s="634">
        <f>IF(OR(S206="",S207=""),"",S206+S207)</f>
        <v>1</v>
      </c>
      <c r="R206" s="634"/>
      <c r="S206" s="100">
        <v>1</v>
      </c>
      <c r="T206" s="101" t="s">
        <v>7</v>
      </c>
      <c r="U206" s="100">
        <v>0</v>
      </c>
      <c r="V206" s="634">
        <f>IF(OR(U206="",U207=""),"",U206+U207)</f>
        <v>0</v>
      </c>
      <c r="W206" s="634"/>
      <c r="X206" s="746" t="str">
        <f ca="1">VLOOKUP(AS206,U12組合せ!B$10:K$19,9,TRUE)</f>
        <v>ウエストフットコムU11</v>
      </c>
      <c r="Y206" s="747"/>
      <c r="Z206" s="747"/>
      <c r="AA206" s="747"/>
      <c r="AB206" s="747"/>
      <c r="AC206" s="747"/>
      <c r="AD206" s="747"/>
      <c r="AE206" s="583"/>
      <c r="AF206" s="583"/>
      <c r="AG206" s="583"/>
      <c r="AH206" s="583"/>
      <c r="AI206" s="758" t="str">
        <f ca="1">DBCS(INDIRECT("U12対戦スケジュール!x"&amp;(ROW())/2-AR$196))</f>
        <v>Ｄ１／Ｃ４／Ｃ９／Ｄ１</v>
      </c>
      <c r="AJ206" s="759"/>
      <c r="AK206" s="759"/>
      <c r="AL206" s="759"/>
      <c r="AM206" s="759"/>
      <c r="AN206" s="759"/>
      <c r="AO206" s="759"/>
      <c r="AP206" s="760"/>
      <c r="AR206" s="119">
        <f ca="1">INDIRECT("U12対戦スケジュール!U"&amp;(ROW())/2-AR$196)</f>
        <v>9</v>
      </c>
      <c r="AS206" s="119">
        <f ca="1">INDIRECT("U12対戦スケジュール!W"&amp;(ROW())/2-AR$196)</f>
        <v>5</v>
      </c>
      <c r="AU206" s="102"/>
      <c r="AV206" s="102"/>
    </row>
    <row r="207" spans="1:48" s="96" customFormat="1" ht="19.5" customHeight="1" x14ac:dyDescent="0.4">
      <c r="B207" s="644"/>
      <c r="C207" s="648"/>
      <c r="D207" s="649"/>
      <c r="E207" s="650"/>
      <c r="F207" s="583"/>
      <c r="G207" s="583"/>
      <c r="H207" s="583"/>
      <c r="I207" s="583"/>
      <c r="J207" s="747"/>
      <c r="K207" s="747"/>
      <c r="L207" s="747"/>
      <c r="M207" s="747"/>
      <c r="N207" s="747"/>
      <c r="O207" s="747"/>
      <c r="P207" s="747"/>
      <c r="Q207" s="634"/>
      <c r="R207" s="634"/>
      <c r="S207" s="100">
        <v>0</v>
      </c>
      <c r="T207" s="101" t="s">
        <v>7</v>
      </c>
      <c r="U207" s="100">
        <v>0</v>
      </c>
      <c r="V207" s="634"/>
      <c r="W207" s="634"/>
      <c r="X207" s="747"/>
      <c r="Y207" s="747"/>
      <c r="Z207" s="747"/>
      <c r="AA207" s="747"/>
      <c r="AB207" s="747"/>
      <c r="AC207" s="747"/>
      <c r="AD207" s="747"/>
      <c r="AE207" s="583"/>
      <c r="AF207" s="583"/>
      <c r="AG207" s="583"/>
      <c r="AH207" s="583"/>
      <c r="AI207" s="761"/>
      <c r="AJ207" s="762"/>
      <c r="AK207" s="762"/>
      <c r="AL207" s="762"/>
      <c r="AM207" s="762"/>
      <c r="AN207" s="762"/>
      <c r="AO207" s="762"/>
      <c r="AP207" s="763"/>
      <c r="AR207" s="119"/>
      <c r="AS207" s="119"/>
      <c r="AU207" s="102"/>
      <c r="AV207" s="102"/>
    </row>
    <row r="208" spans="1:48" s="96" customFormat="1" ht="19.5" customHeight="1" x14ac:dyDescent="0.4">
      <c r="B208" s="644" t="str">
        <f t="shared" ref="B208" ca="1" si="4">DBCS(INDIRECT("U12対戦スケジュール!s"&amp;(ROW())/2-AR$196))</f>
        <v>③</v>
      </c>
      <c r="C208" s="645">
        <f t="shared" ref="C208" ca="1" si="5">INDIRECT("U12対戦スケジュール!t"&amp;(ROW())/2-AR$196)</f>
        <v>0.45899999999999996</v>
      </c>
      <c r="D208" s="646"/>
      <c r="E208" s="647"/>
      <c r="F208" s="583"/>
      <c r="G208" s="583"/>
      <c r="H208" s="583"/>
      <c r="I208" s="583"/>
      <c r="J208" s="746" t="str">
        <f ca="1">VLOOKUP(AR208,U12組合せ!B$10:K$19,9,TRUE)</f>
        <v>ジュベニール</v>
      </c>
      <c r="K208" s="747"/>
      <c r="L208" s="747"/>
      <c r="M208" s="747"/>
      <c r="N208" s="747"/>
      <c r="O208" s="747"/>
      <c r="P208" s="747"/>
      <c r="Q208" s="634">
        <f>IF(OR(S208="",S209=""),"",S208+S209)</f>
        <v>3</v>
      </c>
      <c r="R208" s="634"/>
      <c r="S208" s="100">
        <v>1</v>
      </c>
      <c r="T208" s="101" t="s">
        <v>7</v>
      </c>
      <c r="U208" s="100">
        <v>0</v>
      </c>
      <c r="V208" s="634">
        <f>IF(OR(U208="",U209=""),"",U208+U209)</f>
        <v>1</v>
      </c>
      <c r="W208" s="634"/>
      <c r="X208" s="746" t="str">
        <f ca="1">VLOOKUP(AS208,U12組合せ!B$10:K$19,9,TRUE)</f>
        <v>FCブロケード</v>
      </c>
      <c r="Y208" s="747"/>
      <c r="Z208" s="747"/>
      <c r="AA208" s="747"/>
      <c r="AB208" s="747"/>
      <c r="AC208" s="747"/>
      <c r="AD208" s="747"/>
      <c r="AE208" s="583"/>
      <c r="AF208" s="583"/>
      <c r="AG208" s="583"/>
      <c r="AH208" s="583"/>
      <c r="AI208" s="758" t="str">
        <f ca="1">DBCS(INDIRECT("U12対戦スケジュール!x"&amp;(ROW())/2-AR$196))</f>
        <v>Ｄ５／Ｃ９／Ｃ２／Ｄ５</v>
      </c>
      <c r="AJ208" s="759"/>
      <c r="AK208" s="759"/>
      <c r="AL208" s="759"/>
      <c r="AM208" s="759"/>
      <c r="AN208" s="759"/>
      <c r="AO208" s="759"/>
      <c r="AP208" s="760"/>
      <c r="AR208" s="119">
        <f ca="1">INDIRECT("U12対戦スケジュール!U"&amp;(ROW())/2-AR$196)</f>
        <v>9</v>
      </c>
      <c r="AS208" s="119">
        <f ca="1">INDIRECT("U12対戦スケジュール!W"&amp;(ROW())/2-AR$196)</f>
        <v>1</v>
      </c>
      <c r="AU208" s="102"/>
      <c r="AV208" s="102"/>
    </row>
    <row r="209" spans="1:48" s="96" customFormat="1" ht="19.5" customHeight="1" x14ac:dyDescent="0.4">
      <c r="B209" s="644"/>
      <c r="C209" s="648"/>
      <c r="D209" s="649"/>
      <c r="E209" s="650"/>
      <c r="F209" s="583"/>
      <c r="G209" s="583"/>
      <c r="H209" s="583"/>
      <c r="I209" s="583"/>
      <c r="J209" s="747"/>
      <c r="K209" s="747"/>
      <c r="L209" s="747"/>
      <c r="M209" s="747"/>
      <c r="N209" s="747"/>
      <c r="O209" s="747"/>
      <c r="P209" s="747"/>
      <c r="Q209" s="634"/>
      <c r="R209" s="634"/>
      <c r="S209" s="100">
        <v>2</v>
      </c>
      <c r="T209" s="101" t="s">
        <v>7</v>
      </c>
      <c r="U209" s="100">
        <v>1</v>
      </c>
      <c r="V209" s="634"/>
      <c r="W209" s="634"/>
      <c r="X209" s="747"/>
      <c r="Y209" s="747"/>
      <c r="Z209" s="747"/>
      <c r="AA209" s="747"/>
      <c r="AB209" s="747"/>
      <c r="AC209" s="747"/>
      <c r="AD209" s="747"/>
      <c r="AE209" s="583"/>
      <c r="AF209" s="583"/>
      <c r="AG209" s="583"/>
      <c r="AH209" s="583"/>
      <c r="AI209" s="761"/>
      <c r="AJ209" s="762"/>
      <c r="AK209" s="762"/>
      <c r="AL209" s="762"/>
      <c r="AM209" s="762"/>
      <c r="AN209" s="762"/>
      <c r="AO209" s="762"/>
      <c r="AP209" s="763"/>
      <c r="AR209" s="119"/>
      <c r="AS209" s="119"/>
      <c r="AU209" s="102"/>
      <c r="AV209" s="102"/>
    </row>
    <row r="210" spans="1:48" s="96" customFormat="1" ht="19.5" customHeight="1" x14ac:dyDescent="0.4">
      <c r="B210" s="586"/>
      <c r="C210" s="739"/>
      <c r="D210" s="740"/>
      <c r="E210" s="741"/>
      <c r="F210" s="704"/>
      <c r="G210" s="704"/>
      <c r="H210" s="704"/>
      <c r="I210" s="704"/>
      <c r="J210" s="701"/>
      <c r="K210" s="702"/>
      <c r="L210" s="702"/>
      <c r="M210" s="702"/>
      <c r="N210" s="702"/>
      <c r="O210" s="702"/>
      <c r="P210" s="702"/>
      <c r="Q210" s="705"/>
      <c r="R210" s="705"/>
      <c r="S210" s="109"/>
      <c r="T210" s="110"/>
      <c r="U210" s="109"/>
      <c r="V210" s="705"/>
      <c r="W210" s="705"/>
      <c r="X210" s="701"/>
      <c r="Y210" s="702"/>
      <c r="Z210" s="702"/>
      <c r="AA210" s="702"/>
      <c r="AB210" s="702"/>
      <c r="AC210" s="702"/>
      <c r="AD210" s="702"/>
      <c r="AE210" s="704"/>
      <c r="AF210" s="704"/>
      <c r="AG210" s="704"/>
      <c r="AH210" s="704"/>
      <c r="AI210" s="706"/>
      <c r="AJ210" s="707"/>
      <c r="AK210" s="707"/>
      <c r="AL210" s="707"/>
      <c r="AM210" s="707"/>
      <c r="AN210" s="707"/>
      <c r="AO210" s="707"/>
      <c r="AP210" s="707"/>
      <c r="AR210" s="119"/>
      <c r="AS210" s="119"/>
      <c r="AU210" s="102"/>
      <c r="AV210" s="102"/>
    </row>
    <row r="211" spans="1:48" s="96" customFormat="1" ht="19.5" customHeight="1" x14ac:dyDescent="0.4">
      <c r="B211" s="644"/>
      <c r="C211" s="648"/>
      <c r="D211" s="649"/>
      <c r="E211" s="650"/>
      <c r="F211" s="583"/>
      <c r="G211" s="583"/>
      <c r="H211" s="583"/>
      <c r="I211" s="583"/>
      <c r="J211" s="703"/>
      <c r="K211" s="703"/>
      <c r="L211" s="703"/>
      <c r="M211" s="703"/>
      <c r="N211" s="703"/>
      <c r="O211" s="703"/>
      <c r="P211" s="703"/>
      <c r="Q211" s="634"/>
      <c r="R211" s="634"/>
      <c r="S211" s="100"/>
      <c r="T211" s="101"/>
      <c r="U211" s="100"/>
      <c r="V211" s="634"/>
      <c r="W211" s="634"/>
      <c r="X211" s="703"/>
      <c r="Y211" s="703"/>
      <c r="Z211" s="703"/>
      <c r="AA211" s="703"/>
      <c r="AB211" s="703"/>
      <c r="AC211" s="703"/>
      <c r="AD211" s="703"/>
      <c r="AE211" s="583"/>
      <c r="AF211" s="583"/>
      <c r="AG211" s="583"/>
      <c r="AH211" s="583"/>
      <c r="AI211" s="708"/>
      <c r="AJ211" s="708"/>
      <c r="AK211" s="708"/>
      <c r="AL211" s="708"/>
      <c r="AM211" s="708"/>
      <c r="AN211" s="708"/>
      <c r="AO211" s="708"/>
      <c r="AP211" s="708"/>
      <c r="AR211" s="119"/>
      <c r="AS211" s="119"/>
      <c r="AU211" s="102"/>
      <c r="AV211" s="102"/>
    </row>
    <row r="212" spans="1:48" s="96" customFormat="1" ht="19.5" customHeight="1" x14ac:dyDescent="0.4">
      <c r="B212" s="585"/>
      <c r="C212" s="587"/>
      <c r="D212" s="588"/>
      <c r="E212" s="589"/>
      <c r="F212" s="622"/>
      <c r="G212" s="623"/>
      <c r="H212" s="623"/>
      <c r="I212" s="624"/>
      <c r="J212" s="689"/>
      <c r="K212" s="690"/>
      <c r="L212" s="690"/>
      <c r="M212" s="690"/>
      <c r="N212" s="690"/>
      <c r="O212" s="690"/>
      <c r="P212" s="691"/>
      <c r="Q212" s="628"/>
      <c r="R212" s="630"/>
      <c r="S212" s="100"/>
      <c r="T212" s="101"/>
      <c r="U212" s="100"/>
      <c r="V212" s="628"/>
      <c r="W212" s="630"/>
      <c r="X212" s="695"/>
      <c r="Y212" s="696"/>
      <c r="Z212" s="696"/>
      <c r="AA212" s="696"/>
      <c r="AB212" s="696"/>
      <c r="AC212" s="696"/>
      <c r="AD212" s="697"/>
      <c r="AE212" s="622"/>
      <c r="AF212" s="623"/>
      <c r="AG212" s="623"/>
      <c r="AH212" s="624"/>
      <c r="AI212" s="628"/>
      <c r="AJ212" s="629"/>
      <c r="AK212" s="629"/>
      <c r="AL212" s="629"/>
      <c r="AM212" s="629"/>
      <c r="AN212" s="629"/>
      <c r="AO212" s="629"/>
      <c r="AP212" s="630"/>
      <c r="AU212" s="102"/>
      <c r="AV212" s="102"/>
    </row>
    <row r="213" spans="1:48" s="96" customFormat="1" ht="19.5" customHeight="1" x14ac:dyDescent="0.4">
      <c r="B213" s="586"/>
      <c r="C213" s="590"/>
      <c r="D213" s="591"/>
      <c r="E213" s="592"/>
      <c r="F213" s="625"/>
      <c r="G213" s="626"/>
      <c r="H213" s="626"/>
      <c r="I213" s="627"/>
      <c r="J213" s="692"/>
      <c r="K213" s="693"/>
      <c r="L213" s="693"/>
      <c r="M213" s="693"/>
      <c r="N213" s="693"/>
      <c r="O213" s="693"/>
      <c r="P213" s="694"/>
      <c r="Q213" s="631"/>
      <c r="R213" s="633"/>
      <c r="S213" s="100"/>
      <c r="T213" s="101"/>
      <c r="U213" s="100"/>
      <c r="V213" s="631"/>
      <c r="W213" s="633"/>
      <c r="X213" s="698"/>
      <c r="Y213" s="699"/>
      <c r="Z213" s="699"/>
      <c r="AA213" s="699"/>
      <c r="AB213" s="699"/>
      <c r="AC213" s="699"/>
      <c r="AD213" s="700"/>
      <c r="AE213" s="625"/>
      <c r="AF213" s="626"/>
      <c r="AG213" s="626"/>
      <c r="AH213" s="627"/>
      <c r="AI213" s="631"/>
      <c r="AJ213" s="632"/>
      <c r="AK213" s="632"/>
      <c r="AL213" s="632"/>
      <c r="AM213" s="632"/>
      <c r="AN213" s="632"/>
      <c r="AO213" s="632"/>
      <c r="AP213" s="633"/>
      <c r="AU213" s="102"/>
      <c r="AV213" s="102"/>
    </row>
    <row r="214" spans="1:48" s="96" customFormat="1" ht="19.5" customHeight="1" x14ac:dyDescent="0.4">
      <c r="B214" s="585"/>
      <c r="C214" s="587"/>
      <c r="D214" s="588"/>
      <c r="E214" s="589"/>
      <c r="F214" s="622"/>
      <c r="G214" s="623"/>
      <c r="H214" s="623"/>
      <c r="I214" s="624"/>
      <c r="J214" s="689"/>
      <c r="K214" s="690"/>
      <c r="L214" s="690"/>
      <c r="M214" s="690"/>
      <c r="N214" s="690"/>
      <c r="O214" s="690"/>
      <c r="P214" s="691"/>
      <c r="Q214" s="628"/>
      <c r="R214" s="630"/>
      <c r="S214" s="100"/>
      <c r="T214" s="101"/>
      <c r="U214" s="100"/>
      <c r="V214" s="628"/>
      <c r="W214" s="630"/>
      <c r="X214" s="695"/>
      <c r="Y214" s="696"/>
      <c r="Z214" s="696"/>
      <c r="AA214" s="696"/>
      <c r="AB214" s="696"/>
      <c r="AC214" s="696"/>
      <c r="AD214" s="697"/>
      <c r="AE214" s="622"/>
      <c r="AF214" s="623"/>
      <c r="AG214" s="623"/>
      <c r="AH214" s="624"/>
      <c r="AI214" s="628"/>
      <c r="AJ214" s="629"/>
      <c r="AK214" s="629"/>
      <c r="AL214" s="629"/>
      <c r="AM214" s="629"/>
      <c r="AN214" s="629"/>
      <c r="AO214" s="629"/>
      <c r="AP214" s="630"/>
      <c r="AU214" s="102"/>
      <c r="AV214" s="102"/>
    </row>
    <row r="215" spans="1:48" s="96" customFormat="1" ht="19.5" customHeight="1" x14ac:dyDescent="0.4">
      <c r="B215" s="586"/>
      <c r="C215" s="590"/>
      <c r="D215" s="591"/>
      <c r="E215" s="592"/>
      <c r="F215" s="625"/>
      <c r="G215" s="626"/>
      <c r="H215" s="626"/>
      <c r="I215" s="627"/>
      <c r="J215" s="692"/>
      <c r="K215" s="693"/>
      <c r="L215" s="693"/>
      <c r="M215" s="693"/>
      <c r="N215" s="693"/>
      <c r="O215" s="693"/>
      <c r="P215" s="694"/>
      <c r="Q215" s="631"/>
      <c r="R215" s="633"/>
      <c r="S215" s="100"/>
      <c r="T215" s="101"/>
      <c r="U215" s="100"/>
      <c r="V215" s="631"/>
      <c r="W215" s="633"/>
      <c r="X215" s="698"/>
      <c r="Y215" s="699"/>
      <c r="Z215" s="699"/>
      <c r="AA215" s="699"/>
      <c r="AB215" s="699"/>
      <c r="AC215" s="699"/>
      <c r="AD215" s="700"/>
      <c r="AE215" s="625"/>
      <c r="AF215" s="626"/>
      <c r="AG215" s="626"/>
      <c r="AH215" s="627"/>
      <c r="AI215" s="631"/>
      <c r="AJ215" s="632"/>
      <c r="AK215" s="632"/>
      <c r="AL215" s="632"/>
      <c r="AM215" s="632"/>
      <c r="AN215" s="632"/>
      <c r="AO215" s="632"/>
      <c r="AP215" s="633"/>
      <c r="AU215" s="102"/>
      <c r="AV215" s="102"/>
    </row>
    <row r="216" spans="1:48" s="96" customFormat="1" ht="16.5" x14ac:dyDescent="0.4">
      <c r="B216" s="585"/>
      <c r="C216" s="587"/>
      <c r="D216" s="588"/>
      <c r="E216" s="589"/>
      <c r="F216" s="622"/>
      <c r="G216" s="623"/>
      <c r="H216" s="623"/>
      <c r="I216" s="624"/>
      <c r="J216" s="689"/>
      <c r="K216" s="690"/>
      <c r="L216" s="690"/>
      <c r="M216" s="690"/>
      <c r="N216" s="690"/>
      <c r="O216" s="690"/>
      <c r="P216" s="691"/>
      <c r="Q216" s="628"/>
      <c r="R216" s="630"/>
      <c r="S216" s="100"/>
      <c r="T216" s="101"/>
      <c r="U216" s="100"/>
      <c r="V216" s="628"/>
      <c r="W216" s="630"/>
      <c r="X216" s="695"/>
      <c r="Y216" s="696"/>
      <c r="Z216" s="696"/>
      <c r="AA216" s="696"/>
      <c r="AB216" s="696"/>
      <c r="AC216" s="696"/>
      <c r="AD216" s="697"/>
      <c r="AE216" s="622"/>
      <c r="AF216" s="623"/>
      <c r="AG216" s="623"/>
      <c r="AH216" s="624"/>
      <c r="AI216" s="628"/>
      <c r="AJ216" s="629"/>
      <c r="AK216" s="629"/>
      <c r="AL216" s="629"/>
      <c r="AM216" s="629"/>
      <c r="AN216" s="629"/>
      <c r="AO216" s="629"/>
      <c r="AP216" s="630"/>
      <c r="AU216" s="102"/>
      <c r="AV216" s="102"/>
    </row>
    <row r="217" spans="1:48" s="96" customFormat="1" ht="16.5" x14ac:dyDescent="0.4">
      <c r="B217" s="586"/>
      <c r="C217" s="590"/>
      <c r="D217" s="591"/>
      <c r="E217" s="592"/>
      <c r="F217" s="625"/>
      <c r="G217" s="626"/>
      <c r="H217" s="626"/>
      <c r="I217" s="627"/>
      <c r="J217" s="692"/>
      <c r="K217" s="693"/>
      <c r="L217" s="693"/>
      <c r="M217" s="693"/>
      <c r="N217" s="693"/>
      <c r="O217" s="693"/>
      <c r="P217" s="694"/>
      <c r="Q217" s="631"/>
      <c r="R217" s="633"/>
      <c r="S217" s="100"/>
      <c r="T217" s="101"/>
      <c r="U217" s="100"/>
      <c r="V217" s="631"/>
      <c r="W217" s="633"/>
      <c r="X217" s="698"/>
      <c r="Y217" s="699"/>
      <c r="Z217" s="699"/>
      <c r="AA217" s="699"/>
      <c r="AB217" s="699"/>
      <c r="AC217" s="699"/>
      <c r="AD217" s="700"/>
      <c r="AE217" s="625"/>
      <c r="AF217" s="626"/>
      <c r="AG217" s="626"/>
      <c r="AH217" s="627"/>
      <c r="AI217" s="631"/>
      <c r="AJ217" s="632"/>
      <c r="AK217" s="632"/>
      <c r="AL217" s="632"/>
      <c r="AM217" s="632"/>
      <c r="AN217" s="632"/>
      <c r="AO217" s="632"/>
      <c r="AP217" s="633"/>
      <c r="AU217" s="102"/>
      <c r="AV217" s="102"/>
    </row>
    <row r="218" spans="1:48" s="96" customFormat="1" ht="20.25" thickBot="1" x14ac:dyDescent="0.45">
      <c r="A218" s="102"/>
      <c r="B218" s="103"/>
      <c r="C218" s="104"/>
      <c r="D218" s="104"/>
      <c r="E218" s="104"/>
      <c r="F218" s="103"/>
      <c r="G218" s="103"/>
      <c r="H218" s="103"/>
      <c r="I218" s="103"/>
      <c r="J218" s="103"/>
      <c r="K218" s="105"/>
      <c r="L218" s="105"/>
      <c r="M218" s="106"/>
      <c r="N218" s="107"/>
      <c r="O218" s="106"/>
      <c r="P218" s="105"/>
      <c r="Q218" s="105"/>
      <c r="R218" s="103"/>
      <c r="S218" s="103"/>
      <c r="T218" s="103"/>
      <c r="U218" s="103"/>
      <c r="V218" s="103"/>
      <c r="W218" s="108"/>
      <c r="X218" s="108"/>
      <c r="Y218" s="108"/>
      <c r="Z218" s="108"/>
      <c r="AA218" s="108"/>
      <c r="AB218" s="108"/>
      <c r="AC218" s="102"/>
      <c r="AU218" s="102"/>
      <c r="AV218" s="102"/>
    </row>
    <row r="219" spans="1:48" s="96" customFormat="1" ht="20.25" thickBot="1" x14ac:dyDescent="0.45">
      <c r="D219" s="664" t="s">
        <v>8</v>
      </c>
      <c r="E219" s="665"/>
      <c r="F219" s="665"/>
      <c r="G219" s="665"/>
      <c r="H219" s="665"/>
      <c r="I219" s="666"/>
      <c r="J219" s="667" t="s">
        <v>5</v>
      </c>
      <c r="K219" s="665"/>
      <c r="L219" s="665"/>
      <c r="M219" s="665"/>
      <c r="N219" s="665"/>
      <c r="O219" s="665"/>
      <c r="P219" s="665"/>
      <c r="Q219" s="666"/>
      <c r="R219" s="668" t="s">
        <v>9</v>
      </c>
      <c r="S219" s="669"/>
      <c r="T219" s="669"/>
      <c r="U219" s="669"/>
      <c r="V219" s="669"/>
      <c r="W219" s="669"/>
      <c r="X219" s="669"/>
      <c r="Y219" s="669"/>
      <c r="Z219" s="670"/>
      <c r="AA219" s="609" t="s">
        <v>10</v>
      </c>
      <c r="AB219" s="610"/>
      <c r="AC219" s="671"/>
      <c r="AD219" s="609" t="s">
        <v>11</v>
      </c>
      <c r="AE219" s="610"/>
      <c r="AF219" s="610"/>
      <c r="AG219" s="610"/>
      <c r="AH219" s="610"/>
      <c r="AI219" s="610"/>
      <c r="AJ219" s="610"/>
      <c r="AK219" s="610"/>
      <c r="AL219" s="610"/>
      <c r="AM219" s="611"/>
      <c r="AU219" s="102"/>
      <c r="AV219" s="102"/>
    </row>
    <row r="220" spans="1:48" s="96" customFormat="1" ht="26.25" customHeight="1" x14ac:dyDescent="0.4">
      <c r="D220" s="651" t="s">
        <v>298</v>
      </c>
      <c r="E220" s="652"/>
      <c r="F220" s="652"/>
      <c r="G220" s="652"/>
      <c r="H220" s="652"/>
      <c r="I220" s="653"/>
      <c r="J220" s="654"/>
      <c r="K220" s="652"/>
      <c r="L220" s="652"/>
      <c r="M220" s="652"/>
      <c r="N220" s="652"/>
      <c r="O220" s="652"/>
      <c r="P220" s="652"/>
      <c r="Q220" s="653"/>
      <c r="R220" s="655"/>
      <c r="S220" s="656"/>
      <c r="T220" s="656"/>
      <c r="U220" s="656"/>
      <c r="V220" s="656"/>
      <c r="W220" s="656"/>
      <c r="X220" s="656"/>
      <c r="Y220" s="656"/>
      <c r="Z220" s="657"/>
      <c r="AA220" s="658"/>
      <c r="AB220" s="659"/>
      <c r="AC220" s="660"/>
      <c r="AD220" s="661"/>
      <c r="AE220" s="662"/>
      <c r="AF220" s="662"/>
      <c r="AG220" s="662"/>
      <c r="AH220" s="662"/>
      <c r="AI220" s="662"/>
      <c r="AJ220" s="662"/>
      <c r="AK220" s="662"/>
      <c r="AL220" s="662"/>
      <c r="AM220" s="663"/>
      <c r="AU220" s="102"/>
      <c r="AV220" s="102"/>
    </row>
    <row r="221" spans="1:48" s="96" customFormat="1" ht="26.25" customHeight="1" x14ac:dyDescent="0.4">
      <c r="D221" s="688" t="s">
        <v>12</v>
      </c>
      <c r="E221" s="604"/>
      <c r="F221" s="604"/>
      <c r="G221" s="604"/>
      <c r="H221" s="604"/>
      <c r="I221" s="605"/>
      <c r="J221" s="603"/>
      <c r="K221" s="604"/>
      <c r="L221" s="604"/>
      <c r="M221" s="604"/>
      <c r="N221" s="604"/>
      <c r="O221" s="604"/>
      <c r="P221" s="604"/>
      <c r="Q221" s="605"/>
      <c r="R221" s="606"/>
      <c r="S221" s="607"/>
      <c r="T221" s="607"/>
      <c r="U221" s="607"/>
      <c r="V221" s="607"/>
      <c r="W221" s="607"/>
      <c r="X221" s="607"/>
      <c r="Y221" s="607"/>
      <c r="Z221" s="608"/>
      <c r="AA221" s="606"/>
      <c r="AB221" s="607"/>
      <c r="AC221" s="608"/>
      <c r="AD221" s="672"/>
      <c r="AE221" s="673"/>
      <c r="AF221" s="673"/>
      <c r="AG221" s="673"/>
      <c r="AH221" s="673"/>
      <c r="AI221" s="673"/>
      <c r="AJ221" s="673"/>
      <c r="AK221" s="673"/>
      <c r="AL221" s="673"/>
      <c r="AM221" s="674"/>
      <c r="AU221" s="102"/>
      <c r="AV221" s="102"/>
    </row>
    <row r="222" spans="1:48" s="96" customFormat="1" ht="26.25" customHeight="1" thickBot="1" x14ac:dyDescent="0.45">
      <c r="D222" s="675" t="s">
        <v>12</v>
      </c>
      <c r="E222" s="676"/>
      <c r="F222" s="676"/>
      <c r="G222" s="676"/>
      <c r="H222" s="676"/>
      <c r="I222" s="677"/>
      <c r="J222" s="678"/>
      <c r="K222" s="676"/>
      <c r="L222" s="676"/>
      <c r="M222" s="676"/>
      <c r="N222" s="676"/>
      <c r="O222" s="676"/>
      <c r="P222" s="676"/>
      <c r="Q222" s="677"/>
      <c r="R222" s="679"/>
      <c r="S222" s="680"/>
      <c r="T222" s="680"/>
      <c r="U222" s="680"/>
      <c r="V222" s="680"/>
      <c r="W222" s="680"/>
      <c r="X222" s="680"/>
      <c r="Y222" s="680"/>
      <c r="Z222" s="681"/>
      <c r="AA222" s="682"/>
      <c r="AB222" s="683"/>
      <c r="AC222" s="684"/>
      <c r="AD222" s="685"/>
      <c r="AE222" s="686"/>
      <c r="AF222" s="686"/>
      <c r="AG222" s="686"/>
      <c r="AH222" s="686"/>
      <c r="AI222" s="686"/>
      <c r="AJ222" s="686"/>
      <c r="AK222" s="686"/>
      <c r="AL222" s="686"/>
      <c r="AM222" s="687"/>
      <c r="AU222" s="102"/>
      <c r="AV222" s="102"/>
    </row>
    <row r="223" spans="1:48" s="96" customFormat="1" ht="15" customHeight="1" x14ac:dyDescent="0.4">
      <c r="AU223" s="102"/>
      <c r="AV223" s="102"/>
    </row>
    <row r="224" spans="1:48" s="96" customFormat="1" ht="27.75" customHeight="1" x14ac:dyDescent="0.4">
      <c r="A224" s="115"/>
      <c r="B224" s="599" t="str">
        <f>U12組合せ!$B$1</f>
        <v>ＪＦＡ　Ｕ-１２サッカーリーグ2021（in栃木） 宇都宮地区リーグ戦（前期）</v>
      </c>
      <c r="C224" s="599"/>
      <c r="D224" s="599"/>
      <c r="E224" s="599"/>
      <c r="F224" s="599"/>
      <c r="G224" s="599"/>
      <c r="H224" s="599"/>
      <c r="I224" s="599"/>
      <c r="J224" s="599"/>
      <c r="K224" s="599"/>
      <c r="L224" s="599"/>
      <c r="M224" s="599"/>
      <c r="N224" s="599"/>
      <c r="O224" s="599"/>
      <c r="P224" s="599"/>
      <c r="Q224" s="599"/>
      <c r="R224" s="599"/>
      <c r="S224" s="599"/>
      <c r="T224" s="599"/>
      <c r="U224" s="599"/>
      <c r="V224" s="599"/>
      <c r="W224" s="599"/>
      <c r="X224" s="599"/>
      <c r="Y224" s="599"/>
      <c r="Z224" s="599"/>
      <c r="AA224" s="599"/>
      <c r="AB224" s="599"/>
      <c r="AC224" s="612" t="str">
        <f>"【"&amp;(U12組合せ!$J$3)&amp;"】"</f>
        <v>【Ｄ ブロック】</v>
      </c>
      <c r="AD224" s="612"/>
      <c r="AE224" s="612"/>
      <c r="AF224" s="612"/>
      <c r="AG224" s="612"/>
      <c r="AH224" s="612"/>
      <c r="AI224" s="612"/>
      <c r="AJ224" s="612"/>
      <c r="AK224" s="602" t="str">
        <f>"第"&amp;(U12組合せ!$D$33)</f>
        <v>第３節</v>
      </c>
      <c r="AL224" s="602"/>
      <c r="AM224" s="602"/>
      <c r="AN224" s="602"/>
      <c r="AO224" s="602"/>
      <c r="AP224" s="597" t="s">
        <v>332</v>
      </c>
      <c r="AQ224" s="598"/>
      <c r="AU224" s="102"/>
      <c r="AV224" s="102"/>
    </row>
    <row r="225" spans="1:48" s="96" customFormat="1" ht="15" customHeight="1" x14ac:dyDescent="0.4">
      <c r="A225" s="115"/>
      <c r="B225" s="599"/>
      <c r="C225" s="599"/>
      <c r="D225" s="599"/>
      <c r="E225" s="599"/>
      <c r="F225" s="599"/>
      <c r="G225" s="599"/>
      <c r="H225" s="599"/>
      <c r="I225" s="599"/>
      <c r="J225" s="599"/>
      <c r="K225" s="599"/>
      <c r="L225" s="599"/>
      <c r="M225" s="599"/>
      <c r="N225" s="599"/>
      <c r="O225" s="599"/>
      <c r="P225" s="599"/>
      <c r="Q225" s="599"/>
      <c r="R225" s="599"/>
      <c r="S225" s="599"/>
      <c r="T225" s="599"/>
      <c r="U225" s="599"/>
      <c r="V225" s="599"/>
      <c r="W225" s="599"/>
      <c r="X225" s="599"/>
      <c r="Y225" s="599"/>
      <c r="Z225" s="599"/>
      <c r="AA225" s="599"/>
      <c r="AB225" s="599"/>
      <c r="AC225" s="601"/>
      <c r="AD225" s="601"/>
      <c r="AE225" s="601"/>
      <c r="AF225" s="601"/>
      <c r="AG225" s="601"/>
      <c r="AH225" s="601"/>
      <c r="AI225" s="601"/>
      <c r="AJ225" s="601"/>
      <c r="AK225" s="601"/>
      <c r="AL225" s="601"/>
      <c r="AM225" s="601"/>
      <c r="AN225" s="601"/>
      <c r="AO225" s="612"/>
      <c r="AP225" s="598"/>
      <c r="AQ225" s="598"/>
      <c r="AU225" s="102"/>
      <c r="AV225" s="102"/>
    </row>
    <row r="226" spans="1:48" s="96" customFormat="1" ht="29.25" customHeight="1" x14ac:dyDescent="0.4">
      <c r="C226" s="635" t="s">
        <v>1</v>
      </c>
      <c r="D226" s="635"/>
      <c r="E226" s="635"/>
      <c r="F226" s="635"/>
      <c r="G226" s="725" t="str">
        <f>U12対戦スケジュール!U64</f>
        <v>石井 5 PM</v>
      </c>
      <c r="H226" s="726"/>
      <c r="I226" s="726"/>
      <c r="J226" s="726"/>
      <c r="K226" s="726"/>
      <c r="L226" s="726"/>
      <c r="M226" s="726"/>
      <c r="N226" s="726"/>
      <c r="O226" s="727"/>
      <c r="P226" s="635" t="s">
        <v>0</v>
      </c>
      <c r="Q226" s="635"/>
      <c r="R226" s="635"/>
      <c r="S226" s="635"/>
      <c r="T226" s="725" t="str">
        <f>AG228</f>
        <v>宝木キッカーズ</v>
      </c>
      <c r="U226" s="726"/>
      <c r="V226" s="726"/>
      <c r="W226" s="726"/>
      <c r="X226" s="726"/>
      <c r="Y226" s="726"/>
      <c r="Z226" s="726"/>
      <c r="AA226" s="726"/>
      <c r="AB226" s="727"/>
      <c r="AC226" s="635" t="s">
        <v>2</v>
      </c>
      <c r="AD226" s="635"/>
      <c r="AE226" s="635"/>
      <c r="AF226" s="635"/>
      <c r="AG226" s="618">
        <f>U12組合せ!B$33</f>
        <v>44325</v>
      </c>
      <c r="AH226" s="619"/>
      <c r="AI226" s="619"/>
      <c r="AJ226" s="619"/>
      <c r="AK226" s="619"/>
      <c r="AL226" s="619"/>
      <c r="AM226" s="620" t="str">
        <f>"（"&amp;TEXT(AG226,"aaa")&amp;"）"</f>
        <v>（日）</v>
      </c>
      <c r="AN226" s="620"/>
      <c r="AO226" s="621"/>
      <c r="AP226" s="116"/>
      <c r="AR226" s="96">
        <f>236/2</f>
        <v>118</v>
      </c>
      <c r="AU226" s="102"/>
      <c r="AV226" s="102"/>
    </row>
    <row r="227" spans="1:48" s="96" customFormat="1" ht="17.25" customHeight="1" x14ac:dyDescent="0.4">
      <c r="C227" s="96" t="str">
        <f>U12組合せ!K36</f>
        <v>D267</v>
      </c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95"/>
      <c r="X227" s="95"/>
      <c r="Y227" s="95"/>
      <c r="Z227" s="95"/>
      <c r="AA227" s="95"/>
      <c r="AB227" s="95"/>
      <c r="AC227" s="95"/>
      <c r="AR227" s="96">
        <v>66</v>
      </c>
      <c r="AU227" s="102"/>
      <c r="AV227" s="102"/>
    </row>
    <row r="228" spans="1:48" s="96" customFormat="1" ht="30.75" customHeight="1" x14ac:dyDescent="0.4">
      <c r="C228" s="637">
        <v>1</v>
      </c>
      <c r="D228" s="637"/>
      <c r="E228" s="584" t="str">
        <f>VLOOKUP(C228,U12組合せ!B$10:K$19,9,TRUE)</f>
        <v>FCブロケード</v>
      </c>
      <c r="F228" s="584"/>
      <c r="G228" s="584"/>
      <c r="H228" s="584"/>
      <c r="I228" s="584"/>
      <c r="J228" s="584"/>
      <c r="K228" s="584"/>
      <c r="L228" s="584"/>
      <c r="M228" s="584"/>
      <c r="N228" s="584"/>
      <c r="O228" s="94"/>
      <c r="P228" s="94"/>
      <c r="Q228" s="637">
        <v>4</v>
      </c>
      <c r="R228" s="637"/>
      <c r="S228" s="584" t="str">
        <f>VLOOKUP(Q228,U12組合せ!B$10:K$19,9,TRUE)</f>
        <v>清原フューチャーズ</v>
      </c>
      <c r="T228" s="584"/>
      <c r="U228" s="584"/>
      <c r="V228" s="584"/>
      <c r="W228" s="584"/>
      <c r="X228" s="584"/>
      <c r="Y228" s="584"/>
      <c r="Z228" s="584"/>
      <c r="AA228" s="584"/>
      <c r="AB228" s="584"/>
      <c r="AC228" s="92"/>
      <c r="AD228" s="93"/>
      <c r="AE228" s="636">
        <v>7</v>
      </c>
      <c r="AF228" s="636"/>
      <c r="AG228" s="709" t="str">
        <f>VLOOKUP(AE228,U12組合せ!B$10:'U12組合せ'!K$19,9,TRUE)</f>
        <v>宝木キッカーズ</v>
      </c>
      <c r="AH228" s="709"/>
      <c r="AI228" s="709"/>
      <c r="AJ228" s="709"/>
      <c r="AK228" s="709"/>
      <c r="AL228" s="709"/>
      <c r="AM228" s="709"/>
      <c r="AN228" s="709"/>
      <c r="AO228" s="709"/>
      <c r="AP228" s="709"/>
      <c r="AR228" s="96">
        <f>AR226-AR227</f>
        <v>52</v>
      </c>
      <c r="AU228" s="102"/>
      <c r="AV228" s="102"/>
    </row>
    <row r="229" spans="1:48" s="96" customFormat="1" ht="30.75" customHeight="1" x14ac:dyDescent="0.4">
      <c r="C229" s="636">
        <v>2</v>
      </c>
      <c r="D229" s="636"/>
      <c r="E229" s="709" t="str">
        <f>VLOOKUP(C229,U12組合せ!B$10:K$19,9,TRUE)</f>
        <v>FCみらいV</v>
      </c>
      <c r="F229" s="709"/>
      <c r="G229" s="709"/>
      <c r="H229" s="709"/>
      <c r="I229" s="709"/>
      <c r="J229" s="709"/>
      <c r="K229" s="709"/>
      <c r="L229" s="709"/>
      <c r="M229" s="709"/>
      <c r="N229" s="709"/>
      <c r="O229" s="94"/>
      <c r="P229" s="94"/>
      <c r="Q229" s="637">
        <v>5</v>
      </c>
      <c r="R229" s="637"/>
      <c r="S229" s="584" t="str">
        <f>VLOOKUP(Q229,U12組合せ!B$10:K$19,9,TRUE)</f>
        <v>ウエストフットコムU11</v>
      </c>
      <c r="T229" s="584"/>
      <c r="U229" s="584"/>
      <c r="V229" s="584"/>
      <c r="W229" s="584"/>
      <c r="X229" s="584"/>
      <c r="Y229" s="584"/>
      <c r="Z229" s="584"/>
      <c r="AA229" s="584"/>
      <c r="AB229" s="584"/>
      <c r="AC229" s="92"/>
      <c r="AD229" s="93"/>
      <c r="AE229" s="637">
        <v>8</v>
      </c>
      <c r="AF229" s="637"/>
      <c r="AG229" s="584" t="str">
        <f>VLOOKUP(AE229,U12組合せ!B$10:'U12組合せ'!K$19,9,TRUE)</f>
        <v>陽東SSS</v>
      </c>
      <c r="AH229" s="584"/>
      <c r="AI229" s="584"/>
      <c r="AJ229" s="584"/>
      <c r="AK229" s="584"/>
      <c r="AL229" s="584"/>
      <c r="AM229" s="584"/>
      <c r="AN229" s="584"/>
      <c r="AO229" s="584"/>
      <c r="AP229" s="584"/>
      <c r="AU229" s="102"/>
      <c r="AV229" s="102"/>
    </row>
    <row r="230" spans="1:48" s="96" customFormat="1" ht="30.75" customHeight="1" x14ac:dyDescent="0.4">
      <c r="C230" s="637">
        <v>3</v>
      </c>
      <c r="D230" s="637"/>
      <c r="E230" s="584" t="str">
        <f>VLOOKUP(C230,U12組合せ!B$10:K$19,9,TRUE)</f>
        <v>宇大付属小SSS U11</v>
      </c>
      <c r="F230" s="584"/>
      <c r="G230" s="584"/>
      <c r="H230" s="584"/>
      <c r="I230" s="584"/>
      <c r="J230" s="584"/>
      <c r="K230" s="584"/>
      <c r="L230" s="584"/>
      <c r="M230" s="584"/>
      <c r="N230" s="584"/>
      <c r="O230" s="94"/>
      <c r="P230" s="94"/>
      <c r="Q230" s="636">
        <v>6</v>
      </c>
      <c r="R230" s="636"/>
      <c r="S230" s="709" t="str">
        <f>VLOOKUP(Q230,U12組合せ!B$10:K$19,9,TRUE)</f>
        <v>SUGAOプロミネンス</v>
      </c>
      <c r="T230" s="709"/>
      <c r="U230" s="709"/>
      <c r="V230" s="709"/>
      <c r="W230" s="709"/>
      <c r="X230" s="709"/>
      <c r="Y230" s="709"/>
      <c r="Z230" s="709"/>
      <c r="AA230" s="709"/>
      <c r="AB230" s="709"/>
      <c r="AC230" s="92"/>
      <c r="AD230" s="93"/>
      <c r="AE230" s="637">
        <v>9</v>
      </c>
      <c r="AF230" s="637"/>
      <c r="AG230" s="584" t="str">
        <f>VLOOKUP(AE230,U12組合せ!B$10:'U12組合せ'!K$19,9,TRUE)</f>
        <v>ジュベニール</v>
      </c>
      <c r="AH230" s="584"/>
      <c r="AI230" s="584"/>
      <c r="AJ230" s="584"/>
      <c r="AK230" s="584"/>
      <c r="AL230" s="584"/>
      <c r="AM230" s="584"/>
      <c r="AN230" s="584"/>
      <c r="AO230" s="584"/>
      <c r="AP230" s="584"/>
      <c r="AU230" s="102"/>
      <c r="AV230" s="102"/>
    </row>
    <row r="231" spans="1:48" s="96" customFormat="1" ht="12" customHeight="1" x14ac:dyDescent="0.4">
      <c r="C231" s="121"/>
      <c r="D231" s="121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94"/>
      <c r="P231" s="94"/>
      <c r="Q231" s="123"/>
      <c r="R231" s="123"/>
      <c r="S231" s="124"/>
      <c r="T231" s="124"/>
      <c r="U231" s="124"/>
      <c r="V231" s="124"/>
      <c r="W231" s="124"/>
      <c r="X231" s="124"/>
      <c r="Y231" s="124"/>
      <c r="Z231" s="124"/>
      <c r="AA231" s="124"/>
      <c r="AB231" s="124"/>
      <c r="AC231" s="92"/>
      <c r="AD231" s="93"/>
      <c r="AE231" s="123"/>
      <c r="AF231" s="123"/>
      <c r="AG231" s="124"/>
      <c r="AH231" s="124"/>
      <c r="AI231" s="124"/>
      <c r="AJ231" s="124"/>
      <c r="AK231" s="124"/>
      <c r="AL231" s="124"/>
      <c r="AM231" s="124"/>
      <c r="AN231" s="124"/>
      <c r="AO231" s="124"/>
      <c r="AP231" s="124"/>
      <c r="AU231" s="102"/>
      <c r="AV231" s="102"/>
    </row>
    <row r="232" spans="1:48" s="96" customFormat="1" ht="12" customHeight="1" x14ac:dyDescent="0.4">
      <c r="B232" s="102"/>
      <c r="O232" s="102"/>
      <c r="P232" s="102"/>
      <c r="AC232" s="95"/>
      <c r="AD232" s="102"/>
      <c r="AE232" s="102"/>
      <c r="AF232" s="102"/>
      <c r="AG232" s="102"/>
      <c r="AU232" s="102"/>
      <c r="AV232" s="102"/>
    </row>
    <row r="233" spans="1:48" s="96" customFormat="1" ht="12" customHeight="1" x14ac:dyDescent="0.4">
      <c r="C233" s="117"/>
      <c r="D233" s="118"/>
      <c r="E233" s="118"/>
      <c r="F233" s="118"/>
      <c r="G233" s="118"/>
      <c r="H233" s="118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18"/>
      <c r="U233" s="102"/>
      <c r="V233" s="118"/>
      <c r="W233" s="102"/>
      <c r="X233" s="118"/>
      <c r="Y233" s="102"/>
      <c r="Z233" s="118"/>
      <c r="AA233" s="102"/>
      <c r="AB233" s="118"/>
      <c r="AC233" s="118"/>
      <c r="AU233" s="102"/>
      <c r="AV233" s="102"/>
    </row>
    <row r="234" spans="1:48" s="96" customFormat="1" ht="21.75" customHeight="1" x14ac:dyDescent="0.4">
      <c r="B234" s="118" t="str">
        <f ca="1">IF(B236="①","【監督会議 8：20～】","【監督会議 12：50～】")</f>
        <v>【監督会議 12：50～】</v>
      </c>
      <c r="I234" s="96" t="s">
        <v>330</v>
      </c>
      <c r="AU234" s="102"/>
      <c r="AV234" s="102"/>
    </row>
    <row r="235" spans="1:48" s="96" customFormat="1" ht="19.5" customHeight="1" x14ac:dyDescent="0.4">
      <c r="B235" s="97"/>
      <c r="C235" s="711" t="s">
        <v>3</v>
      </c>
      <c r="D235" s="711"/>
      <c r="E235" s="711"/>
      <c r="F235" s="712" t="s">
        <v>4</v>
      </c>
      <c r="G235" s="712"/>
      <c r="H235" s="712"/>
      <c r="I235" s="712"/>
      <c r="J235" s="711" t="s">
        <v>5</v>
      </c>
      <c r="K235" s="713"/>
      <c r="L235" s="713"/>
      <c r="M235" s="713"/>
      <c r="N235" s="713"/>
      <c r="O235" s="713"/>
      <c r="P235" s="713"/>
      <c r="Q235" s="711" t="s">
        <v>32</v>
      </c>
      <c r="R235" s="711"/>
      <c r="S235" s="711"/>
      <c r="T235" s="711"/>
      <c r="U235" s="711"/>
      <c r="V235" s="711"/>
      <c r="W235" s="711"/>
      <c r="X235" s="711" t="s">
        <v>5</v>
      </c>
      <c r="Y235" s="713"/>
      <c r="Z235" s="713"/>
      <c r="AA235" s="713"/>
      <c r="AB235" s="713"/>
      <c r="AC235" s="713"/>
      <c r="AD235" s="713"/>
      <c r="AE235" s="712" t="s">
        <v>4</v>
      </c>
      <c r="AF235" s="712"/>
      <c r="AG235" s="712"/>
      <c r="AH235" s="712"/>
      <c r="AI235" s="711" t="s">
        <v>6</v>
      </c>
      <c r="AJ235" s="711"/>
      <c r="AK235" s="713"/>
      <c r="AL235" s="713"/>
      <c r="AM235" s="713"/>
      <c r="AN235" s="713"/>
      <c r="AO235" s="713"/>
      <c r="AP235" s="713"/>
      <c r="AU235" s="102"/>
      <c r="AV235" s="102"/>
    </row>
    <row r="236" spans="1:48" s="96" customFormat="1" ht="19.5" customHeight="1" x14ac:dyDescent="0.4">
      <c r="B236" s="644" t="str">
        <f ca="1">DBCS(INDIRECT("U12対戦スケジュール!s"&amp;(ROW())/2-AR$228))</f>
        <v>④</v>
      </c>
      <c r="C236" s="645">
        <f ca="1">INDIRECT("U12対戦スケジュール!t"&amp;(ROW())/2-AR$228)</f>
        <v>0.5625</v>
      </c>
      <c r="D236" s="646"/>
      <c r="E236" s="647"/>
      <c r="F236" s="583"/>
      <c r="G236" s="583"/>
      <c r="H236" s="583"/>
      <c r="I236" s="583"/>
      <c r="J236" s="746" t="str">
        <f ca="1">VLOOKUP(AR236,U12組合せ!B$10:K$19,9,TRUE)</f>
        <v>FCみらいV</v>
      </c>
      <c r="K236" s="747"/>
      <c r="L236" s="747"/>
      <c r="M236" s="747"/>
      <c r="N236" s="747"/>
      <c r="O236" s="747"/>
      <c r="P236" s="747"/>
      <c r="Q236" s="628">
        <f>IF(OR(S236="",S237=""),"",S236+S237)</f>
        <v>3</v>
      </c>
      <c r="R236" s="630"/>
      <c r="S236" s="100">
        <v>2</v>
      </c>
      <c r="T236" s="101" t="s">
        <v>7</v>
      </c>
      <c r="U236" s="100">
        <v>0</v>
      </c>
      <c r="V236" s="628">
        <f>IF(OR(U236="",U237=""),"",U236+U237)</f>
        <v>0</v>
      </c>
      <c r="W236" s="630"/>
      <c r="X236" s="746" t="str">
        <f ca="1">VLOOKUP(AS236,U12組合せ!B$10:K$19,9,TRUE)</f>
        <v>SUGAOプロミネンス</v>
      </c>
      <c r="Y236" s="747"/>
      <c r="Z236" s="747"/>
      <c r="AA236" s="747"/>
      <c r="AB236" s="747"/>
      <c r="AC236" s="747"/>
      <c r="AD236" s="747"/>
      <c r="AE236" s="583"/>
      <c r="AF236" s="583"/>
      <c r="AG236" s="583"/>
      <c r="AH236" s="583"/>
      <c r="AI236" s="758" t="str">
        <f ca="1">DBCS(INDIRECT("U12対戦スケジュール!X"&amp;(ROW())/2-AR$228))</f>
        <v>７／２／６／７</v>
      </c>
      <c r="AJ236" s="759"/>
      <c r="AK236" s="759"/>
      <c r="AL236" s="759"/>
      <c r="AM236" s="759"/>
      <c r="AN236" s="759"/>
      <c r="AO236" s="759"/>
      <c r="AP236" s="760"/>
      <c r="AR236" s="119">
        <f ca="1">INDIRECT("U12対戦スケジュール!U"&amp;(ROW())/2-AR$228)</f>
        <v>2</v>
      </c>
      <c r="AS236" s="119">
        <f ca="1">INDIRECT("U12対戦スケジュール!W"&amp;(ROW())/2-AR$228)</f>
        <v>6</v>
      </c>
      <c r="AU236" s="102"/>
      <c r="AV236" s="102"/>
    </row>
    <row r="237" spans="1:48" s="96" customFormat="1" ht="19.5" customHeight="1" x14ac:dyDescent="0.4">
      <c r="B237" s="644"/>
      <c r="C237" s="648"/>
      <c r="D237" s="649"/>
      <c r="E237" s="650"/>
      <c r="F237" s="583"/>
      <c r="G237" s="583"/>
      <c r="H237" s="583"/>
      <c r="I237" s="583"/>
      <c r="J237" s="747"/>
      <c r="K237" s="747"/>
      <c r="L237" s="747"/>
      <c r="M237" s="747"/>
      <c r="N237" s="747"/>
      <c r="O237" s="747"/>
      <c r="P237" s="747"/>
      <c r="Q237" s="631"/>
      <c r="R237" s="633"/>
      <c r="S237" s="100">
        <v>1</v>
      </c>
      <c r="T237" s="101" t="s">
        <v>7</v>
      </c>
      <c r="U237" s="100">
        <v>0</v>
      </c>
      <c r="V237" s="631"/>
      <c r="W237" s="633"/>
      <c r="X237" s="747"/>
      <c r="Y237" s="747"/>
      <c r="Z237" s="747"/>
      <c r="AA237" s="747"/>
      <c r="AB237" s="747"/>
      <c r="AC237" s="747"/>
      <c r="AD237" s="747"/>
      <c r="AE237" s="583"/>
      <c r="AF237" s="583"/>
      <c r="AG237" s="583"/>
      <c r="AH237" s="583"/>
      <c r="AI237" s="761"/>
      <c r="AJ237" s="762"/>
      <c r="AK237" s="762"/>
      <c r="AL237" s="762"/>
      <c r="AM237" s="762"/>
      <c r="AN237" s="762"/>
      <c r="AO237" s="762"/>
      <c r="AP237" s="763"/>
      <c r="AR237" s="119"/>
      <c r="AS237" s="119"/>
      <c r="AU237" s="102"/>
      <c r="AV237" s="102"/>
    </row>
    <row r="238" spans="1:48" s="96" customFormat="1" ht="19.5" customHeight="1" x14ac:dyDescent="0.4">
      <c r="B238" s="644" t="str">
        <f t="shared" ref="B238" ca="1" si="6">DBCS(INDIRECT("U12対戦スケジュール!s"&amp;(ROW())/2-AR$228))</f>
        <v>⑤</v>
      </c>
      <c r="C238" s="645">
        <f t="shared" ref="C238" ca="1" si="7">INDIRECT("U12対戦スケジュール!t"&amp;(ROW())/2-AR$228)</f>
        <v>0.60450000000000004</v>
      </c>
      <c r="D238" s="646"/>
      <c r="E238" s="647"/>
      <c r="F238" s="583"/>
      <c r="G238" s="583"/>
      <c r="H238" s="583"/>
      <c r="I238" s="583"/>
      <c r="J238" s="746" t="str">
        <f ca="1">VLOOKUP(AR238,U12組合せ!B$10:K$19,9,TRUE)</f>
        <v>宝木キッカーズ</v>
      </c>
      <c r="K238" s="747"/>
      <c r="L238" s="747"/>
      <c r="M238" s="747"/>
      <c r="N238" s="747"/>
      <c r="O238" s="747"/>
      <c r="P238" s="747"/>
      <c r="Q238" s="634">
        <f>IF(OR(S238="",S239=""),"",S238+S239)</f>
        <v>12</v>
      </c>
      <c r="R238" s="634"/>
      <c r="S238" s="100">
        <v>6</v>
      </c>
      <c r="T238" s="101" t="s">
        <v>7</v>
      </c>
      <c r="U238" s="100">
        <v>0</v>
      </c>
      <c r="V238" s="634">
        <f>IF(OR(U238="",U239=""),"",U238+U239)</f>
        <v>0</v>
      </c>
      <c r="W238" s="634"/>
      <c r="X238" s="746" t="str">
        <f ca="1">VLOOKUP(AS238,U12組合せ!B$10:K$19,9,TRUE)</f>
        <v>SUGAOプロミネンス</v>
      </c>
      <c r="Y238" s="747"/>
      <c r="Z238" s="747"/>
      <c r="AA238" s="747"/>
      <c r="AB238" s="747"/>
      <c r="AC238" s="747"/>
      <c r="AD238" s="747"/>
      <c r="AE238" s="583"/>
      <c r="AF238" s="583"/>
      <c r="AG238" s="583"/>
      <c r="AH238" s="583"/>
      <c r="AI238" s="758" t="str">
        <f ca="1">DBCS(INDIRECT("U12対戦スケジュール!X"&amp;(ROW())/2-AR$228))</f>
        <v>２／６／７／２</v>
      </c>
      <c r="AJ238" s="759"/>
      <c r="AK238" s="759"/>
      <c r="AL238" s="759"/>
      <c r="AM238" s="759"/>
      <c r="AN238" s="759"/>
      <c r="AO238" s="759"/>
      <c r="AP238" s="760"/>
      <c r="AR238" s="119">
        <f ca="1">INDIRECT("U12対戦スケジュール!U"&amp;(ROW())/2-AR$228)</f>
        <v>7</v>
      </c>
      <c r="AS238" s="119">
        <f ca="1">INDIRECT("U12対戦スケジュール!W"&amp;(ROW())/2-AR$228)</f>
        <v>6</v>
      </c>
      <c r="AU238" s="102"/>
      <c r="AV238" s="102"/>
    </row>
    <row r="239" spans="1:48" s="96" customFormat="1" ht="19.5" customHeight="1" x14ac:dyDescent="0.4">
      <c r="B239" s="644"/>
      <c r="C239" s="648"/>
      <c r="D239" s="649"/>
      <c r="E239" s="650"/>
      <c r="F239" s="583"/>
      <c r="G239" s="583"/>
      <c r="H239" s="583"/>
      <c r="I239" s="583"/>
      <c r="J239" s="747"/>
      <c r="K239" s="747"/>
      <c r="L239" s="747"/>
      <c r="M239" s="747"/>
      <c r="N239" s="747"/>
      <c r="O239" s="747"/>
      <c r="P239" s="747"/>
      <c r="Q239" s="634"/>
      <c r="R239" s="634"/>
      <c r="S239" s="100">
        <v>6</v>
      </c>
      <c r="T239" s="101" t="s">
        <v>7</v>
      </c>
      <c r="U239" s="100">
        <v>0</v>
      </c>
      <c r="V239" s="634"/>
      <c r="W239" s="634"/>
      <c r="X239" s="747"/>
      <c r="Y239" s="747"/>
      <c r="Z239" s="747"/>
      <c r="AA239" s="747"/>
      <c r="AB239" s="747"/>
      <c r="AC239" s="747"/>
      <c r="AD239" s="747"/>
      <c r="AE239" s="583"/>
      <c r="AF239" s="583"/>
      <c r="AG239" s="583"/>
      <c r="AH239" s="583"/>
      <c r="AI239" s="761"/>
      <c r="AJ239" s="762"/>
      <c r="AK239" s="762"/>
      <c r="AL239" s="762"/>
      <c r="AM239" s="762"/>
      <c r="AN239" s="762"/>
      <c r="AO239" s="762"/>
      <c r="AP239" s="763"/>
      <c r="AR239" s="119"/>
      <c r="AS239" s="119"/>
      <c r="AU239" s="102"/>
      <c r="AV239" s="102"/>
    </row>
    <row r="240" spans="1:48" s="96" customFormat="1" ht="19.5" customHeight="1" x14ac:dyDescent="0.4">
      <c r="B240" s="644" t="str">
        <f t="shared" ref="B240" ca="1" si="8">DBCS(INDIRECT("U12対戦スケジュール!s"&amp;(ROW())/2-AR$228))</f>
        <v>⑥</v>
      </c>
      <c r="C240" s="645">
        <f t="shared" ref="C240" ca="1" si="9">INDIRECT("U12対戦スケジュール!t"&amp;(ROW())/2-AR$228)</f>
        <v>0.64650000000000007</v>
      </c>
      <c r="D240" s="646"/>
      <c r="E240" s="647"/>
      <c r="F240" s="583"/>
      <c r="G240" s="583"/>
      <c r="H240" s="583"/>
      <c r="I240" s="583"/>
      <c r="J240" s="746" t="str">
        <f ca="1">VLOOKUP(AR240,U12組合せ!B$10:K$19,9,TRUE)</f>
        <v>宝木キッカーズ</v>
      </c>
      <c r="K240" s="747"/>
      <c r="L240" s="747"/>
      <c r="M240" s="747"/>
      <c r="N240" s="747"/>
      <c r="O240" s="747"/>
      <c r="P240" s="747"/>
      <c r="Q240" s="634">
        <f>IF(OR(S240="",S241=""),"",S240+S241)</f>
        <v>3</v>
      </c>
      <c r="R240" s="634"/>
      <c r="S240" s="100">
        <v>2</v>
      </c>
      <c r="T240" s="101" t="s">
        <v>7</v>
      </c>
      <c r="U240" s="100">
        <v>2</v>
      </c>
      <c r="V240" s="634">
        <f>IF(OR(U240="",U241=""),"",U240+U241)</f>
        <v>5</v>
      </c>
      <c r="W240" s="634"/>
      <c r="X240" s="746" t="str">
        <f ca="1">VLOOKUP(AS240,U12組合せ!B$10:K$19,9,TRUE)</f>
        <v>FCみらいV</v>
      </c>
      <c r="Y240" s="747"/>
      <c r="Z240" s="747"/>
      <c r="AA240" s="747"/>
      <c r="AB240" s="747"/>
      <c r="AC240" s="747"/>
      <c r="AD240" s="747"/>
      <c r="AE240" s="583"/>
      <c r="AF240" s="583"/>
      <c r="AG240" s="583"/>
      <c r="AH240" s="583"/>
      <c r="AI240" s="758" t="str">
        <f ca="1">DBCS(INDIRECT("U12対戦スケジュール!X"&amp;(ROW())/2-AR$228))</f>
        <v>６／７／２／６</v>
      </c>
      <c r="AJ240" s="759"/>
      <c r="AK240" s="759"/>
      <c r="AL240" s="759"/>
      <c r="AM240" s="759"/>
      <c r="AN240" s="759"/>
      <c r="AO240" s="759"/>
      <c r="AP240" s="760"/>
      <c r="AR240" s="119">
        <f ca="1">INDIRECT("U12対戦スケジュール!U"&amp;(ROW())/2-AR$228)</f>
        <v>7</v>
      </c>
      <c r="AS240" s="119">
        <f ca="1">INDIRECT("U12対戦スケジュール!W"&amp;(ROW())/2-AR$228)</f>
        <v>2</v>
      </c>
      <c r="AU240" s="102"/>
      <c r="AV240" s="102"/>
    </row>
    <row r="241" spans="1:48" s="96" customFormat="1" ht="19.5" customHeight="1" x14ac:dyDescent="0.4">
      <c r="B241" s="644"/>
      <c r="C241" s="648"/>
      <c r="D241" s="649"/>
      <c r="E241" s="650"/>
      <c r="F241" s="583"/>
      <c r="G241" s="583"/>
      <c r="H241" s="583"/>
      <c r="I241" s="583"/>
      <c r="J241" s="747"/>
      <c r="K241" s="747"/>
      <c r="L241" s="747"/>
      <c r="M241" s="747"/>
      <c r="N241" s="747"/>
      <c r="O241" s="747"/>
      <c r="P241" s="747"/>
      <c r="Q241" s="634"/>
      <c r="R241" s="634"/>
      <c r="S241" s="100">
        <v>1</v>
      </c>
      <c r="T241" s="101" t="s">
        <v>7</v>
      </c>
      <c r="U241" s="100">
        <v>3</v>
      </c>
      <c r="V241" s="634"/>
      <c r="W241" s="634"/>
      <c r="X241" s="747"/>
      <c r="Y241" s="747"/>
      <c r="Z241" s="747"/>
      <c r="AA241" s="747"/>
      <c r="AB241" s="747"/>
      <c r="AC241" s="747"/>
      <c r="AD241" s="747"/>
      <c r="AE241" s="583"/>
      <c r="AF241" s="583"/>
      <c r="AG241" s="583"/>
      <c r="AH241" s="583"/>
      <c r="AI241" s="761"/>
      <c r="AJ241" s="762"/>
      <c r="AK241" s="762"/>
      <c r="AL241" s="762"/>
      <c r="AM241" s="762"/>
      <c r="AN241" s="762"/>
      <c r="AO241" s="762"/>
      <c r="AP241" s="763"/>
      <c r="AR241" s="119"/>
      <c r="AS241" s="119"/>
      <c r="AU241" s="102"/>
      <c r="AV241" s="102"/>
    </row>
    <row r="242" spans="1:48" s="96" customFormat="1" ht="19.5" customHeight="1" x14ac:dyDescent="0.4">
      <c r="B242" s="586"/>
      <c r="C242" s="739"/>
      <c r="D242" s="740"/>
      <c r="E242" s="741"/>
      <c r="F242" s="704"/>
      <c r="G242" s="704"/>
      <c r="H242" s="704"/>
      <c r="I242" s="704"/>
      <c r="J242" s="701"/>
      <c r="K242" s="702"/>
      <c r="L242" s="702"/>
      <c r="M242" s="702"/>
      <c r="N242" s="702"/>
      <c r="O242" s="702"/>
      <c r="P242" s="702"/>
      <c r="Q242" s="705"/>
      <c r="R242" s="705"/>
      <c r="S242" s="109"/>
      <c r="T242" s="110"/>
      <c r="U242" s="109"/>
      <c r="V242" s="705"/>
      <c r="W242" s="705"/>
      <c r="X242" s="701"/>
      <c r="Y242" s="702"/>
      <c r="Z242" s="702"/>
      <c r="AA242" s="702"/>
      <c r="AB242" s="702"/>
      <c r="AC242" s="702"/>
      <c r="AD242" s="702"/>
      <c r="AE242" s="704"/>
      <c r="AF242" s="704"/>
      <c r="AG242" s="704"/>
      <c r="AH242" s="704"/>
      <c r="AI242" s="706"/>
      <c r="AJ242" s="707"/>
      <c r="AK242" s="707"/>
      <c r="AL242" s="707"/>
      <c r="AM242" s="707"/>
      <c r="AN242" s="707"/>
      <c r="AO242" s="707"/>
      <c r="AP242" s="707"/>
      <c r="AR242" s="119"/>
      <c r="AS242" s="119"/>
      <c r="AU242" s="102"/>
      <c r="AV242" s="102"/>
    </row>
    <row r="243" spans="1:48" s="96" customFormat="1" ht="19.5" customHeight="1" x14ac:dyDescent="0.4">
      <c r="B243" s="644"/>
      <c r="C243" s="648"/>
      <c r="D243" s="649"/>
      <c r="E243" s="650"/>
      <c r="F243" s="583"/>
      <c r="G243" s="583"/>
      <c r="H243" s="583"/>
      <c r="I243" s="583"/>
      <c r="J243" s="703"/>
      <c r="K243" s="703"/>
      <c r="L243" s="703"/>
      <c r="M243" s="703"/>
      <c r="N243" s="703"/>
      <c r="O243" s="703"/>
      <c r="P243" s="703"/>
      <c r="Q243" s="634"/>
      <c r="R243" s="634"/>
      <c r="S243" s="100"/>
      <c r="T243" s="101"/>
      <c r="U243" s="100"/>
      <c r="V243" s="634"/>
      <c r="W243" s="634"/>
      <c r="X243" s="703"/>
      <c r="Y243" s="703"/>
      <c r="Z243" s="703"/>
      <c r="AA243" s="703"/>
      <c r="AB243" s="703"/>
      <c r="AC243" s="703"/>
      <c r="AD243" s="703"/>
      <c r="AE243" s="583"/>
      <c r="AF243" s="583"/>
      <c r="AG243" s="583"/>
      <c r="AH243" s="583"/>
      <c r="AI243" s="708"/>
      <c r="AJ243" s="708"/>
      <c r="AK243" s="708"/>
      <c r="AL243" s="708"/>
      <c r="AM243" s="708"/>
      <c r="AN243" s="708"/>
      <c r="AO243" s="708"/>
      <c r="AP243" s="708"/>
      <c r="AR243" s="119"/>
      <c r="AS243" s="119"/>
      <c r="AU243" s="102"/>
      <c r="AV243" s="102"/>
    </row>
    <row r="244" spans="1:48" s="96" customFormat="1" ht="19.5" customHeight="1" x14ac:dyDescent="0.4">
      <c r="B244" s="585"/>
      <c r="C244" s="587"/>
      <c r="D244" s="588"/>
      <c r="E244" s="589"/>
      <c r="F244" s="622"/>
      <c r="G244" s="623"/>
      <c r="H244" s="623"/>
      <c r="I244" s="624"/>
      <c r="J244" s="689"/>
      <c r="K244" s="690"/>
      <c r="L244" s="690"/>
      <c r="M244" s="690"/>
      <c r="N244" s="690"/>
      <c r="O244" s="690"/>
      <c r="P244" s="691"/>
      <c r="Q244" s="628"/>
      <c r="R244" s="630"/>
      <c r="S244" s="100"/>
      <c r="T244" s="101"/>
      <c r="U244" s="100"/>
      <c r="V244" s="628"/>
      <c r="W244" s="630"/>
      <c r="X244" s="695"/>
      <c r="Y244" s="696"/>
      <c r="Z244" s="696"/>
      <c r="AA244" s="696"/>
      <c r="AB244" s="696"/>
      <c r="AC244" s="696"/>
      <c r="AD244" s="697"/>
      <c r="AE244" s="622"/>
      <c r="AF244" s="623"/>
      <c r="AG244" s="623"/>
      <c r="AH244" s="624"/>
      <c r="AI244" s="628"/>
      <c r="AJ244" s="629"/>
      <c r="AK244" s="629"/>
      <c r="AL244" s="629"/>
      <c r="AM244" s="629"/>
      <c r="AN244" s="629"/>
      <c r="AO244" s="629"/>
      <c r="AP244" s="630"/>
      <c r="AU244" s="102"/>
      <c r="AV244" s="102"/>
    </row>
    <row r="245" spans="1:48" s="96" customFormat="1" ht="19.5" customHeight="1" x14ac:dyDescent="0.4">
      <c r="B245" s="586"/>
      <c r="C245" s="590"/>
      <c r="D245" s="591"/>
      <c r="E245" s="592"/>
      <c r="F245" s="625"/>
      <c r="G245" s="626"/>
      <c r="H245" s="626"/>
      <c r="I245" s="627"/>
      <c r="J245" s="692"/>
      <c r="K245" s="693"/>
      <c r="L245" s="693"/>
      <c r="M245" s="693"/>
      <c r="N245" s="693"/>
      <c r="O245" s="693"/>
      <c r="P245" s="694"/>
      <c r="Q245" s="631"/>
      <c r="R245" s="633"/>
      <c r="S245" s="100"/>
      <c r="T245" s="101"/>
      <c r="U245" s="100"/>
      <c r="V245" s="631"/>
      <c r="W245" s="633"/>
      <c r="X245" s="698"/>
      <c r="Y245" s="699"/>
      <c r="Z245" s="699"/>
      <c r="AA245" s="699"/>
      <c r="AB245" s="699"/>
      <c r="AC245" s="699"/>
      <c r="AD245" s="700"/>
      <c r="AE245" s="625"/>
      <c r="AF245" s="626"/>
      <c r="AG245" s="626"/>
      <c r="AH245" s="627"/>
      <c r="AI245" s="631"/>
      <c r="AJ245" s="632"/>
      <c r="AK245" s="632"/>
      <c r="AL245" s="632"/>
      <c r="AM245" s="632"/>
      <c r="AN245" s="632"/>
      <c r="AO245" s="632"/>
      <c r="AP245" s="633"/>
      <c r="AU245" s="102"/>
      <c r="AV245" s="102"/>
    </row>
    <row r="246" spans="1:48" s="96" customFormat="1" ht="19.5" customHeight="1" x14ac:dyDescent="0.4">
      <c r="B246" s="585"/>
      <c r="C246" s="587"/>
      <c r="D246" s="588"/>
      <c r="E246" s="589"/>
      <c r="F246" s="622"/>
      <c r="G246" s="623"/>
      <c r="H246" s="623"/>
      <c r="I246" s="624"/>
      <c r="J246" s="689"/>
      <c r="K246" s="690"/>
      <c r="L246" s="690"/>
      <c r="M246" s="690"/>
      <c r="N246" s="690"/>
      <c r="O246" s="690"/>
      <c r="P246" s="691"/>
      <c r="Q246" s="628"/>
      <c r="R246" s="630"/>
      <c r="S246" s="100"/>
      <c r="T246" s="101"/>
      <c r="U246" s="100"/>
      <c r="V246" s="628"/>
      <c r="W246" s="630"/>
      <c r="X246" s="695"/>
      <c r="Y246" s="696"/>
      <c r="Z246" s="696"/>
      <c r="AA246" s="696"/>
      <c r="AB246" s="696"/>
      <c r="AC246" s="696"/>
      <c r="AD246" s="697"/>
      <c r="AE246" s="622"/>
      <c r="AF246" s="623"/>
      <c r="AG246" s="623"/>
      <c r="AH246" s="624"/>
      <c r="AI246" s="628"/>
      <c r="AJ246" s="629"/>
      <c r="AK246" s="629"/>
      <c r="AL246" s="629"/>
      <c r="AM246" s="629"/>
      <c r="AN246" s="629"/>
      <c r="AO246" s="629"/>
      <c r="AP246" s="630"/>
      <c r="AU246" s="102"/>
      <c r="AV246" s="102"/>
    </row>
    <row r="247" spans="1:48" s="96" customFormat="1" ht="19.5" customHeight="1" x14ac:dyDescent="0.4">
      <c r="B247" s="586"/>
      <c r="C247" s="590"/>
      <c r="D247" s="591"/>
      <c r="E247" s="592"/>
      <c r="F247" s="625"/>
      <c r="G247" s="626"/>
      <c r="H247" s="626"/>
      <c r="I247" s="627"/>
      <c r="J247" s="692"/>
      <c r="K247" s="693"/>
      <c r="L247" s="693"/>
      <c r="M247" s="693"/>
      <c r="N247" s="693"/>
      <c r="O247" s="693"/>
      <c r="P247" s="694"/>
      <c r="Q247" s="631"/>
      <c r="R247" s="633"/>
      <c r="S247" s="100"/>
      <c r="T247" s="101"/>
      <c r="U247" s="100"/>
      <c r="V247" s="631"/>
      <c r="W247" s="633"/>
      <c r="X247" s="698"/>
      <c r="Y247" s="699"/>
      <c r="Z247" s="699"/>
      <c r="AA247" s="699"/>
      <c r="AB247" s="699"/>
      <c r="AC247" s="699"/>
      <c r="AD247" s="700"/>
      <c r="AE247" s="625"/>
      <c r="AF247" s="626"/>
      <c r="AG247" s="626"/>
      <c r="AH247" s="627"/>
      <c r="AI247" s="631"/>
      <c r="AJ247" s="632"/>
      <c r="AK247" s="632"/>
      <c r="AL247" s="632"/>
      <c r="AM247" s="632"/>
      <c r="AN247" s="632"/>
      <c r="AO247" s="632"/>
      <c r="AP247" s="633"/>
      <c r="AU247" s="102"/>
      <c r="AV247" s="102"/>
    </row>
    <row r="248" spans="1:48" s="96" customFormat="1" ht="16.5" x14ac:dyDescent="0.4">
      <c r="B248" s="585"/>
      <c r="C248" s="587"/>
      <c r="D248" s="588"/>
      <c r="E248" s="589"/>
      <c r="F248" s="622"/>
      <c r="G248" s="623"/>
      <c r="H248" s="623"/>
      <c r="I248" s="624"/>
      <c r="J248" s="689"/>
      <c r="K248" s="690"/>
      <c r="L248" s="690"/>
      <c r="M248" s="690"/>
      <c r="N248" s="690"/>
      <c r="O248" s="690"/>
      <c r="P248" s="691"/>
      <c r="Q248" s="628"/>
      <c r="R248" s="630"/>
      <c r="S248" s="100"/>
      <c r="T248" s="101"/>
      <c r="U248" s="100"/>
      <c r="V248" s="628"/>
      <c r="W248" s="630"/>
      <c r="X248" s="695"/>
      <c r="Y248" s="696"/>
      <c r="Z248" s="696"/>
      <c r="AA248" s="696"/>
      <c r="AB248" s="696"/>
      <c r="AC248" s="696"/>
      <c r="AD248" s="697"/>
      <c r="AE248" s="622"/>
      <c r="AF248" s="623"/>
      <c r="AG248" s="623"/>
      <c r="AH248" s="624"/>
      <c r="AI248" s="628"/>
      <c r="AJ248" s="629"/>
      <c r="AK248" s="629"/>
      <c r="AL248" s="629"/>
      <c r="AM248" s="629"/>
      <c r="AN248" s="629"/>
      <c r="AO248" s="629"/>
      <c r="AP248" s="630"/>
      <c r="AU248" s="102"/>
      <c r="AV248" s="102"/>
    </row>
    <row r="249" spans="1:48" s="96" customFormat="1" ht="16.5" x14ac:dyDescent="0.4">
      <c r="B249" s="586"/>
      <c r="C249" s="590"/>
      <c r="D249" s="591"/>
      <c r="E249" s="592"/>
      <c r="F249" s="625"/>
      <c r="G249" s="626"/>
      <c r="H249" s="626"/>
      <c r="I249" s="627"/>
      <c r="J249" s="692"/>
      <c r="K249" s="693"/>
      <c r="L249" s="693"/>
      <c r="M249" s="693"/>
      <c r="N249" s="693"/>
      <c r="O249" s="693"/>
      <c r="P249" s="694"/>
      <c r="Q249" s="631"/>
      <c r="R249" s="633"/>
      <c r="S249" s="100"/>
      <c r="T249" s="101"/>
      <c r="U249" s="100"/>
      <c r="V249" s="631"/>
      <c r="W249" s="633"/>
      <c r="X249" s="698"/>
      <c r="Y249" s="699"/>
      <c r="Z249" s="699"/>
      <c r="AA249" s="699"/>
      <c r="AB249" s="699"/>
      <c r="AC249" s="699"/>
      <c r="AD249" s="700"/>
      <c r="AE249" s="625"/>
      <c r="AF249" s="626"/>
      <c r="AG249" s="626"/>
      <c r="AH249" s="627"/>
      <c r="AI249" s="631"/>
      <c r="AJ249" s="632"/>
      <c r="AK249" s="632"/>
      <c r="AL249" s="632"/>
      <c r="AM249" s="632"/>
      <c r="AN249" s="632"/>
      <c r="AO249" s="632"/>
      <c r="AP249" s="633"/>
      <c r="AU249" s="102"/>
      <c r="AV249" s="102"/>
    </row>
    <row r="250" spans="1:48" s="96" customFormat="1" ht="20.25" thickBot="1" x14ac:dyDescent="0.45">
      <c r="A250" s="102"/>
      <c r="B250" s="103"/>
      <c r="C250" s="104"/>
      <c r="D250" s="104"/>
      <c r="E250" s="104"/>
      <c r="F250" s="103"/>
      <c r="G250" s="103"/>
      <c r="H250" s="103"/>
      <c r="I250" s="103"/>
      <c r="J250" s="103"/>
      <c r="K250" s="105"/>
      <c r="L250" s="105"/>
      <c r="M250" s="106"/>
      <c r="N250" s="107"/>
      <c r="O250" s="106"/>
      <c r="P250" s="105"/>
      <c r="Q250" s="105"/>
      <c r="R250" s="103"/>
      <c r="S250" s="103"/>
      <c r="T250" s="103"/>
      <c r="U250" s="103"/>
      <c r="V250" s="103"/>
      <c r="W250" s="108"/>
      <c r="X250" s="108"/>
      <c r="Y250" s="108"/>
      <c r="Z250" s="108"/>
      <c r="AA250" s="108"/>
      <c r="AB250" s="108"/>
      <c r="AC250" s="102"/>
      <c r="AU250" s="102"/>
      <c r="AV250" s="102"/>
    </row>
    <row r="251" spans="1:48" s="96" customFormat="1" ht="20.25" thickBot="1" x14ac:dyDescent="0.45">
      <c r="D251" s="664" t="s">
        <v>8</v>
      </c>
      <c r="E251" s="665"/>
      <c r="F251" s="665"/>
      <c r="G251" s="665"/>
      <c r="H251" s="665"/>
      <c r="I251" s="666"/>
      <c r="J251" s="667" t="s">
        <v>5</v>
      </c>
      <c r="K251" s="665"/>
      <c r="L251" s="665"/>
      <c r="M251" s="665"/>
      <c r="N251" s="665"/>
      <c r="O251" s="665"/>
      <c r="P251" s="665"/>
      <c r="Q251" s="666"/>
      <c r="R251" s="668" t="s">
        <v>9</v>
      </c>
      <c r="S251" s="669"/>
      <c r="T251" s="669"/>
      <c r="U251" s="669"/>
      <c r="V251" s="669"/>
      <c r="W251" s="669"/>
      <c r="X251" s="669"/>
      <c r="Y251" s="669"/>
      <c r="Z251" s="670"/>
      <c r="AA251" s="609" t="s">
        <v>10</v>
      </c>
      <c r="AB251" s="610"/>
      <c r="AC251" s="671"/>
      <c r="AD251" s="609" t="s">
        <v>11</v>
      </c>
      <c r="AE251" s="610"/>
      <c r="AF251" s="610"/>
      <c r="AG251" s="610"/>
      <c r="AH251" s="610"/>
      <c r="AI251" s="610"/>
      <c r="AJ251" s="610"/>
      <c r="AK251" s="610"/>
      <c r="AL251" s="610"/>
      <c r="AM251" s="611"/>
      <c r="AU251" s="102"/>
      <c r="AV251" s="102"/>
    </row>
    <row r="252" spans="1:48" s="96" customFormat="1" ht="28.5" customHeight="1" x14ac:dyDescent="0.4">
      <c r="D252" s="651" t="s">
        <v>298</v>
      </c>
      <c r="E252" s="652"/>
      <c r="F252" s="652"/>
      <c r="G252" s="652"/>
      <c r="H252" s="652"/>
      <c r="I252" s="653"/>
      <c r="J252" s="654"/>
      <c r="K252" s="652"/>
      <c r="L252" s="652"/>
      <c r="M252" s="652"/>
      <c r="N252" s="652"/>
      <c r="O252" s="652"/>
      <c r="P252" s="652"/>
      <c r="Q252" s="653"/>
      <c r="R252" s="655"/>
      <c r="S252" s="656"/>
      <c r="T252" s="656"/>
      <c r="U252" s="656"/>
      <c r="V252" s="656"/>
      <c r="W252" s="656"/>
      <c r="X252" s="656"/>
      <c r="Y252" s="656"/>
      <c r="Z252" s="657"/>
      <c r="AA252" s="658"/>
      <c r="AB252" s="659"/>
      <c r="AC252" s="660"/>
      <c r="AD252" s="661"/>
      <c r="AE252" s="662"/>
      <c r="AF252" s="662"/>
      <c r="AG252" s="662"/>
      <c r="AH252" s="662"/>
      <c r="AI252" s="662"/>
      <c r="AJ252" s="662"/>
      <c r="AK252" s="662"/>
      <c r="AL252" s="662"/>
      <c r="AM252" s="663"/>
      <c r="AU252" s="102"/>
      <c r="AV252" s="102"/>
    </row>
    <row r="253" spans="1:48" s="96" customFormat="1" ht="28.5" customHeight="1" x14ac:dyDescent="0.4">
      <c r="D253" s="688" t="s">
        <v>12</v>
      </c>
      <c r="E253" s="604"/>
      <c r="F253" s="604"/>
      <c r="G253" s="604"/>
      <c r="H253" s="604"/>
      <c r="I253" s="605"/>
      <c r="J253" s="603"/>
      <c r="K253" s="604"/>
      <c r="L253" s="604"/>
      <c r="M253" s="604"/>
      <c r="N253" s="604"/>
      <c r="O253" s="604"/>
      <c r="P253" s="604"/>
      <c r="Q253" s="605"/>
      <c r="R253" s="606"/>
      <c r="S253" s="607"/>
      <c r="T253" s="607"/>
      <c r="U253" s="607"/>
      <c r="V253" s="607"/>
      <c r="W253" s="607"/>
      <c r="X253" s="607"/>
      <c r="Y253" s="607"/>
      <c r="Z253" s="608"/>
      <c r="AA253" s="606"/>
      <c r="AB253" s="607"/>
      <c r="AC253" s="608"/>
      <c r="AD253" s="672"/>
      <c r="AE253" s="673"/>
      <c r="AF253" s="673"/>
      <c r="AG253" s="673"/>
      <c r="AH253" s="673"/>
      <c r="AI253" s="673"/>
      <c r="AJ253" s="673"/>
      <c r="AK253" s="673"/>
      <c r="AL253" s="673"/>
      <c r="AM253" s="674"/>
      <c r="AU253" s="102"/>
      <c r="AV253" s="102"/>
    </row>
    <row r="254" spans="1:48" s="96" customFormat="1" ht="28.5" customHeight="1" thickBot="1" x14ac:dyDescent="0.45">
      <c r="D254" s="675" t="s">
        <v>12</v>
      </c>
      <c r="E254" s="676"/>
      <c r="F254" s="676"/>
      <c r="G254" s="676"/>
      <c r="H254" s="676"/>
      <c r="I254" s="677"/>
      <c r="J254" s="678"/>
      <c r="K254" s="676"/>
      <c r="L254" s="676"/>
      <c r="M254" s="676"/>
      <c r="N254" s="676"/>
      <c r="O254" s="676"/>
      <c r="P254" s="676"/>
      <c r="Q254" s="677"/>
      <c r="R254" s="679"/>
      <c r="S254" s="680"/>
      <c r="T254" s="680"/>
      <c r="U254" s="680"/>
      <c r="V254" s="680"/>
      <c r="W254" s="680"/>
      <c r="X254" s="680"/>
      <c r="Y254" s="680"/>
      <c r="Z254" s="681"/>
      <c r="AA254" s="682"/>
      <c r="AB254" s="683"/>
      <c r="AC254" s="684"/>
      <c r="AD254" s="685"/>
      <c r="AE254" s="686"/>
      <c r="AF254" s="686"/>
      <c r="AG254" s="686"/>
      <c r="AH254" s="686"/>
      <c r="AI254" s="686"/>
      <c r="AJ254" s="686"/>
      <c r="AK254" s="686"/>
      <c r="AL254" s="686"/>
      <c r="AM254" s="687"/>
      <c r="AU254" s="102"/>
      <c r="AV254" s="102"/>
    </row>
    <row r="255" spans="1:48" s="96" customFormat="1" ht="15.75" customHeight="1" x14ac:dyDescent="0.4">
      <c r="AU255" s="102"/>
      <c r="AV255" s="102"/>
    </row>
    <row r="256" spans="1:48" s="96" customFormat="1" ht="27.75" customHeight="1" x14ac:dyDescent="0.4">
      <c r="A256" s="115"/>
      <c r="B256" s="599" t="str">
        <f>U12組合せ!$B$1</f>
        <v>ＪＦＡ　Ｕ-１２サッカーリーグ2021（in栃木） 宇都宮地区リーグ戦（前期）</v>
      </c>
      <c r="C256" s="599"/>
      <c r="D256" s="599"/>
      <c r="E256" s="599"/>
      <c r="F256" s="599"/>
      <c r="G256" s="599"/>
      <c r="H256" s="599"/>
      <c r="I256" s="599"/>
      <c r="J256" s="599"/>
      <c r="K256" s="599"/>
      <c r="L256" s="599"/>
      <c r="M256" s="599"/>
      <c r="N256" s="599"/>
      <c r="O256" s="599"/>
      <c r="P256" s="599"/>
      <c r="Q256" s="599"/>
      <c r="R256" s="599"/>
      <c r="S256" s="599"/>
      <c r="T256" s="599"/>
      <c r="U256" s="599"/>
      <c r="V256" s="599"/>
      <c r="W256" s="599"/>
      <c r="X256" s="599"/>
      <c r="Y256" s="599"/>
      <c r="Z256" s="599"/>
      <c r="AA256" s="599"/>
      <c r="AB256" s="599"/>
      <c r="AC256" s="612" t="str">
        <f>"【"&amp;(U12組合せ!$J$3)&amp;"】"</f>
        <v>【Ｄ ブロック】</v>
      </c>
      <c r="AD256" s="612"/>
      <c r="AE256" s="612"/>
      <c r="AF256" s="612"/>
      <c r="AG256" s="612"/>
      <c r="AH256" s="612"/>
      <c r="AI256" s="612"/>
      <c r="AJ256" s="612"/>
      <c r="AK256" s="602" t="str">
        <f>"第"&amp;(U12組合せ!$D$33)</f>
        <v>第３節</v>
      </c>
      <c r="AL256" s="602"/>
      <c r="AM256" s="602"/>
      <c r="AN256" s="602"/>
      <c r="AO256" s="602"/>
      <c r="AP256" s="597" t="s">
        <v>301</v>
      </c>
      <c r="AQ256" s="598"/>
      <c r="AU256" s="102"/>
      <c r="AV256" s="102"/>
    </row>
    <row r="257" spans="1:48" s="96" customFormat="1" ht="15" customHeight="1" x14ac:dyDescent="0.4">
      <c r="A257" s="115"/>
      <c r="B257" s="599"/>
      <c r="C257" s="599"/>
      <c r="D257" s="599"/>
      <c r="E257" s="599"/>
      <c r="F257" s="599"/>
      <c r="G257" s="599"/>
      <c r="H257" s="599"/>
      <c r="I257" s="599"/>
      <c r="J257" s="599"/>
      <c r="K257" s="599"/>
      <c r="L257" s="599"/>
      <c r="M257" s="599"/>
      <c r="N257" s="599"/>
      <c r="O257" s="599"/>
      <c r="P257" s="599"/>
      <c r="Q257" s="599"/>
      <c r="R257" s="599"/>
      <c r="S257" s="599"/>
      <c r="T257" s="599"/>
      <c r="U257" s="599"/>
      <c r="V257" s="599"/>
      <c r="W257" s="599"/>
      <c r="X257" s="599"/>
      <c r="Y257" s="599"/>
      <c r="Z257" s="599"/>
      <c r="AA257" s="599"/>
      <c r="AB257" s="599"/>
      <c r="AC257" s="601"/>
      <c r="AD257" s="601"/>
      <c r="AE257" s="601"/>
      <c r="AF257" s="601"/>
      <c r="AG257" s="601"/>
      <c r="AH257" s="601"/>
      <c r="AI257" s="601"/>
      <c r="AJ257" s="601"/>
      <c r="AK257" s="601"/>
      <c r="AL257" s="601"/>
      <c r="AM257" s="601"/>
      <c r="AN257" s="601"/>
      <c r="AO257" s="612"/>
      <c r="AP257" s="598"/>
      <c r="AQ257" s="598"/>
      <c r="AU257" s="102"/>
      <c r="AV257" s="102"/>
    </row>
    <row r="258" spans="1:48" s="96" customFormat="1" ht="29.25" customHeight="1" x14ac:dyDescent="0.4">
      <c r="C258" s="635" t="s">
        <v>1</v>
      </c>
      <c r="D258" s="635"/>
      <c r="E258" s="635"/>
      <c r="F258" s="635"/>
      <c r="G258" s="725" t="str">
        <f>U12対戦スケジュール!U71</f>
        <v>陽東小AM</v>
      </c>
      <c r="H258" s="726"/>
      <c r="I258" s="726"/>
      <c r="J258" s="726"/>
      <c r="K258" s="726"/>
      <c r="L258" s="726"/>
      <c r="M258" s="726"/>
      <c r="N258" s="726"/>
      <c r="O258" s="727"/>
      <c r="P258" s="635" t="s">
        <v>0</v>
      </c>
      <c r="Q258" s="635"/>
      <c r="R258" s="635"/>
      <c r="S258" s="635"/>
      <c r="T258" s="725" t="str">
        <f>AG261</f>
        <v>陽東SSS</v>
      </c>
      <c r="U258" s="726"/>
      <c r="V258" s="726"/>
      <c r="W258" s="726"/>
      <c r="X258" s="726"/>
      <c r="Y258" s="726"/>
      <c r="Z258" s="726"/>
      <c r="AA258" s="726"/>
      <c r="AB258" s="727"/>
      <c r="AC258" s="635" t="s">
        <v>2</v>
      </c>
      <c r="AD258" s="635"/>
      <c r="AE258" s="635"/>
      <c r="AF258" s="635"/>
      <c r="AG258" s="618">
        <f>U12組合せ!B$33</f>
        <v>44325</v>
      </c>
      <c r="AH258" s="619"/>
      <c r="AI258" s="619"/>
      <c r="AJ258" s="619"/>
      <c r="AK258" s="619"/>
      <c r="AL258" s="619"/>
      <c r="AM258" s="620" t="str">
        <f>"（"&amp;TEXT(AG258,"aaa")&amp;"）"</f>
        <v>（日）</v>
      </c>
      <c r="AN258" s="620"/>
      <c r="AO258" s="621"/>
      <c r="AP258" s="116"/>
      <c r="AR258" s="96">
        <f>268/2</f>
        <v>134</v>
      </c>
      <c r="AU258" s="102"/>
      <c r="AV258" s="102"/>
    </row>
    <row r="259" spans="1:48" s="96" customFormat="1" ht="17.25" customHeight="1" x14ac:dyDescent="0.4">
      <c r="C259" s="96" t="str">
        <f>U12組合せ!K38</f>
        <v>D348</v>
      </c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95"/>
      <c r="X259" s="95"/>
      <c r="Y259" s="95"/>
      <c r="Z259" s="95"/>
      <c r="AA259" s="95"/>
      <c r="AB259" s="95"/>
      <c r="AC259" s="95"/>
      <c r="AR259" s="96">
        <v>73</v>
      </c>
      <c r="AU259" s="102"/>
      <c r="AV259" s="102"/>
    </row>
    <row r="260" spans="1:48" s="96" customFormat="1" ht="30.75" customHeight="1" x14ac:dyDescent="0.4">
      <c r="C260" s="637">
        <v>1</v>
      </c>
      <c r="D260" s="637"/>
      <c r="E260" s="584" t="str">
        <f>VLOOKUP(C260,U12組合せ!B$10:K$19,9,TRUE)</f>
        <v>FCブロケード</v>
      </c>
      <c r="F260" s="584"/>
      <c r="G260" s="584"/>
      <c r="H260" s="584"/>
      <c r="I260" s="584"/>
      <c r="J260" s="584"/>
      <c r="K260" s="584"/>
      <c r="L260" s="584"/>
      <c r="M260" s="584"/>
      <c r="N260" s="584"/>
      <c r="O260" s="94"/>
      <c r="P260" s="94"/>
      <c r="Q260" s="636">
        <v>4</v>
      </c>
      <c r="R260" s="636"/>
      <c r="S260" s="709" t="str">
        <f>VLOOKUP(Q260,U12組合せ!B$10:K$19,9,TRUE)</f>
        <v>清原フューチャーズ</v>
      </c>
      <c r="T260" s="709"/>
      <c r="U260" s="709"/>
      <c r="V260" s="709"/>
      <c r="W260" s="709"/>
      <c r="X260" s="709"/>
      <c r="Y260" s="709"/>
      <c r="Z260" s="709"/>
      <c r="AA260" s="709"/>
      <c r="AB260" s="709"/>
      <c r="AC260" s="92"/>
      <c r="AD260" s="93"/>
      <c r="AE260" s="637">
        <v>7</v>
      </c>
      <c r="AF260" s="637"/>
      <c r="AG260" s="584" t="str">
        <f>VLOOKUP(AE260,U12組合せ!B$10:'U12組合せ'!K$19,9,TRUE)</f>
        <v>宝木キッカーズ</v>
      </c>
      <c r="AH260" s="584"/>
      <c r="AI260" s="584"/>
      <c r="AJ260" s="584"/>
      <c r="AK260" s="584"/>
      <c r="AL260" s="584"/>
      <c r="AM260" s="584"/>
      <c r="AN260" s="584"/>
      <c r="AO260" s="584"/>
      <c r="AP260" s="584"/>
      <c r="AR260" s="96">
        <f>AR258-AR259</f>
        <v>61</v>
      </c>
      <c r="AU260" s="102"/>
      <c r="AV260" s="102"/>
    </row>
    <row r="261" spans="1:48" s="96" customFormat="1" ht="30.75" customHeight="1" x14ac:dyDescent="0.4">
      <c r="C261" s="637">
        <v>2</v>
      </c>
      <c r="D261" s="637"/>
      <c r="E261" s="584" t="str">
        <f>VLOOKUP(C261,U12組合せ!B$10:K$19,9,TRUE)</f>
        <v>FCみらいV</v>
      </c>
      <c r="F261" s="584"/>
      <c r="G261" s="584"/>
      <c r="H261" s="584"/>
      <c r="I261" s="584"/>
      <c r="J261" s="584"/>
      <c r="K261" s="584"/>
      <c r="L261" s="584"/>
      <c r="M261" s="584"/>
      <c r="N261" s="584"/>
      <c r="O261" s="94"/>
      <c r="P261" s="94"/>
      <c r="Q261" s="637">
        <v>5</v>
      </c>
      <c r="R261" s="637"/>
      <c r="S261" s="584" t="str">
        <f>VLOOKUP(Q261,U12組合せ!B$10:K$19,9,TRUE)</f>
        <v>ウエストフットコムU11</v>
      </c>
      <c r="T261" s="584"/>
      <c r="U261" s="584"/>
      <c r="V261" s="584"/>
      <c r="W261" s="584"/>
      <c r="X261" s="584"/>
      <c r="Y261" s="584"/>
      <c r="Z261" s="584"/>
      <c r="AA261" s="584"/>
      <c r="AB261" s="584"/>
      <c r="AC261" s="92"/>
      <c r="AD261" s="93"/>
      <c r="AE261" s="636">
        <v>8</v>
      </c>
      <c r="AF261" s="636"/>
      <c r="AG261" s="709" t="str">
        <f>VLOOKUP(AE261,U12組合せ!B$10:'U12組合せ'!K$19,9,TRUE)</f>
        <v>陽東SSS</v>
      </c>
      <c r="AH261" s="709"/>
      <c r="AI261" s="709"/>
      <c r="AJ261" s="709"/>
      <c r="AK261" s="709"/>
      <c r="AL261" s="709"/>
      <c r="AM261" s="709"/>
      <c r="AN261" s="709"/>
      <c r="AO261" s="709"/>
      <c r="AP261" s="709"/>
      <c r="AU261" s="102"/>
      <c r="AV261" s="102"/>
    </row>
    <row r="262" spans="1:48" s="96" customFormat="1" ht="30.75" customHeight="1" x14ac:dyDescent="0.4">
      <c r="C262" s="636">
        <v>3</v>
      </c>
      <c r="D262" s="636"/>
      <c r="E262" s="709" t="str">
        <f>VLOOKUP(C262,U12組合せ!B$10:K$19,9,TRUE)</f>
        <v>宇大付属小SSS U11</v>
      </c>
      <c r="F262" s="709"/>
      <c r="G262" s="709"/>
      <c r="H262" s="709"/>
      <c r="I262" s="709"/>
      <c r="J262" s="709"/>
      <c r="K262" s="709"/>
      <c r="L262" s="709"/>
      <c r="M262" s="709"/>
      <c r="N262" s="709"/>
      <c r="O262" s="94"/>
      <c r="P262" s="94"/>
      <c r="Q262" s="637">
        <v>6</v>
      </c>
      <c r="R262" s="637"/>
      <c r="S262" s="584" t="str">
        <f>VLOOKUP(Q262,U12組合せ!B$10:K$19,9,TRUE)</f>
        <v>SUGAOプロミネンス</v>
      </c>
      <c r="T262" s="584"/>
      <c r="U262" s="584"/>
      <c r="V262" s="584"/>
      <c r="W262" s="584"/>
      <c r="X262" s="584"/>
      <c r="Y262" s="584"/>
      <c r="Z262" s="584"/>
      <c r="AA262" s="584"/>
      <c r="AB262" s="584"/>
      <c r="AC262" s="92"/>
      <c r="AD262" s="93"/>
      <c r="AE262" s="637">
        <v>9</v>
      </c>
      <c r="AF262" s="637"/>
      <c r="AG262" s="584" t="str">
        <f>VLOOKUP(AE262,U12組合せ!B$10:'U12組合せ'!K$19,9,TRUE)</f>
        <v>ジュベニール</v>
      </c>
      <c r="AH262" s="584"/>
      <c r="AI262" s="584"/>
      <c r="AJ262" s="584"/>
      <c r="AK262" s="584"/>
      <c r="AL262" s="584"/>
      <c r="AM262" s="584"/>
      <c r="AN262" s="584"/>
      <c r="AO262" s="584"/>
      <c r="AP262" s="584"/>
      <c r="AU262" s="102"/>
      <c r="AV262" s="102"/>
    </row>
    <row r="263" spans="1:48" s="96" customFormat="1" ht="12" customHeight="1" x14ac:dyDescent="0.4">
      <c r="C263" s="121"/>
      <c r="D263" s="121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94"/>
      <c r="P263" s="94"/>
      <c r="Q263" s="123"/>
      <c r="R263" s="123"/>
      <c r="S263" s="124"/>
      <c r="T263" s="124"/>
      <c r="U263" s="124"/>
      <c r="V263" s="124"/>
      <c r="W263" s="124"/>
      <c r="X263" s="124"/>
      <c r="Y263" s="124"/>
      <c r="Z263" s="124"/>
      <c r="AA263" s="124"/>
      <c r="AB263" s="124"/>
      <c r="AC263" s="92"/>
      <c r="AD263" s="93"/>
      <c r="AE263" s="123"/>
      <c r="AF263" s="123"/>
      <c r="AG263" s="124"/>
      <c r="AH263" s="124"/>
      <c r="AI263" s="124"/>
      <c r="AJ263" s="124"/>
      <c r="AK263" s="124"/>
      <c r="AL263" s="124"/>
      <c r="AM263" s="124"/>
      <c r="AN263" s="124"/>
      <c r="AO263" s="124"/>
      <c r="AP263" s="124"/>
      <c r="AU263" s="102"/>
      <c r="AV263" s="102"/>
    </row>
    <row r="264" spans="1:48" s="96" customFormat="1" ht="12" customHeight="1" x14ac:dyDescent="0.4">
      <c r="B264" s="102"/>
      <c r="O264" s="102"/>
      <c r="P264" s="102"/>
      <c r="AC264" s="95"/>
      <c r="AD264" s="102"/>
      <c r="AE264" s="102"/>
      <c r="AF264" s="102"/>
      <c r="AG264" s="102"/>
      <c r="AU264" s="102"/>
      <c r="AV264" s="102"/>
    </row>
    <row r="265" spans="1:48" s="96" customFormat="1" ht="12" customHeight="1" x14ac:dyDescent="0.4">
      <c r="C265" s="117"/>
      <c r="D265" s="118"/>
      <c r="E265" s="118"/>
      <c r="F265" s="118"/>
      <c r="G265" s="118"/>
      <c r="H265" s="118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18"/>
      <c r="U265" s="102"/>
      <c r="V265" s="118"/>
      <c r="W265" s="102"/>
      <c r="X265" s="118"/>
      <c r="Y265" s="102"/>
      <c r="Z265" s="118"/>
      <c r="AA265" s="102"/>
      <c r="AB265" s="118"/>
      <c r="AC265" s="118"/>
      <c r="AU265" s="102"/>
      <c r="AV265" s="102"/>
    </row>
    <row r="266" spans="1:48" s="96" customFormat="1" ht="21.75" customHeight="1" x14ac:dyDescent="0.4">
      <c r="B266" s="118" t="str">
        <f ca="1">IF(B268="①","【監督会議 8：20～】","【監督会議 12：50～】")</f>
        <v>【監督会議 8：20～】</v>
      </c>
      <c r="I266" s="96" t="s">
        <v>330</v>
      </c>
      <c r="AU266" s="102"/>
      <c r="AV266" s="102"/>
    </row>
    <row r="267" spans="1:48" s="96" customFormat="1" ht="19.5" customHeight="1" x14ac:dyDescent="0.4">
      <c r="B267" s="97"/>
      <c r="C267" s="711" t="s">
        <v>3</v>
      </c>
      <c r="D267" s="711"/>
      <c r="E267" s="711"/>
      <c r="F267" s="712" t="s">
        <v>4</v>
      </c>
      <c r="G267" s="712"/>
      <c r="H267" s="712"/>
      <c r="I267" s="712"/>
      <c r="J267" s="711" t="s">
        <v>5</v>
      </c>
      <c r="K267" s="713"/>
      <c r="L267" s="713"/>
      <c r="M267" s="713"/>
      <c r="N267" s="713"/>
      <c r="O267" s="713"/>
      <c r="P267" s="713"/>
      <c r="Q267" s="711" t="s">
        <v>32</v>
      </c>
      <c r="R267" s="711"/>
      <c r="S267" s="711"/>
      <c r="T267" s="711"/>
      <c r="U267" s="711"/>
      <c r="V267" s="711"/>
      <c r="W267" s="711"/>
      <c r="X267" s="711" t="s">
        <v>5</v>
      </c>
      <c r="Y267" s="713"/>
      <c r="Z267" s="713"/>
      <c r="AA267" s="713"/>
      <c r="AB267" s="713"/>
      <c r="AC267" s="713"/>
      <c r="AD267" s="713"/>
      <c r="AE267" s="712" t="s">
        <v>4</v>
      </c>
      <c r="AF267" s="712"/>
      <c r="AG267" s="712"/>
      <c r="AH267" s="712"/>
      <c r="AI267" s="711" t="s">
        <v>6</v>
      </c>
      <c r="AJ267" s="711"/>
      <c r="AK267" s="713"/>
      <c r="AL267" s="713"/>
      <c r="AM267" s="713"/>
      <c r="AN267" s="713"/>
      <c r="AO267" s="713"/>
      <c r="AP267" s="713"/>
      <c r="AU267" s="102"/>
      <c r="AV267" s="102"/>
    </row>
    <row r="268" spans="1:48" s="96" customFormat="1" ht="19.5" customHeight="1" x14ac:dyDescent="0.4">
      <c r="B268" s="644" t="str">
        <f ca="1">DBCS(INDIRECT("U12対戦スケジュール!s"&amp;(ROW())/2-AR$260))</f>
        <v>①</v>
      </c>
      <c r="C268" s="645">
        <f ca="1">INDIRECT("U12対戦スケジュール!t"&amp;(ROW())/2-AR$260)</f>
        <v>0.375</v>
      </c>
      <c r="D268" s="646"/>
      <c r="E268" s="647"/>
      <c r="F268" s="583"/>
      <c r="G268" s="583"/>
      <c r="H268" s="583"/>
      <c r="I268" s="583"/>
      <c r="J268" s="746" t="str">
        <f ca="1">VLOOKUP(AR268,U12組合せ!B$10:K$19,9,TRUE)</f>
        <v>宇大付属小SSS U11</v>
      </c>
      <c r="K268" s="747"/>
      <c r="L268" s="747"/>
      <c r="M268" s="747"/>
      <c r="N268" s="747"/>
      <c r="O268" s="747"/>
      <c r="P268" s="747"/>
      <c r="Q268" s="628">
        <f>IF(OR(S268="",S269=""),"",S268+S269)</f>
        <v>0</v>
      </c>
      <c r="R268" s="630"/>
      <c r="S268" s="100">
        <v>0</v>
      </c>
      <c r="T268" s="101" t="s">
        <v>7</v>
      </c>
      <c r="U268" s="100">
        <v>2</v>
      </c>
      <c r="V268" s="628">
        <f>IF(OR(U268="",U269=""),"",U268+U269)</f>
        <v>3</v>
      </c>
      <c r="W268" s="630"/>
      <c r="X268" s="746" t="str">
        <f ca="1">VLOOKUP(AS268,U12組合せ!B$10:K$19,9,TRUE)</f>
        <v>清原フューチャーズ</v>
      </c>
      <c r="Y268" s="747"/>
      <c r="Z268" s="747"/>
      <c r="AA268" s="747"/>
      <c r="AB268" s="747"/>
      <c r="AC268" s="747"/>
      <c r="AD268" s="747"/>
      <c r="AE268" s="583"/>
      <c r="AF268" s="583"/>
      <c r="AG268" s="583"/>
      <c r="AH268" s="583"/>
      <c r="AI268" s="758" t="str">
        <f ca="1">DBCS(INDIRECT("U12対戦スケジュール!X"&amp;(ROW())/2-AR$260))</f>
        <v>８／３／４／８</v>
      </c>
      <c r="AJ268" s="759"/>
      <c r="AK268" s="759"/>
      <c r="AL268" s="759"/>
      <c r="AM268" s="759"/>
      <c r="AN268" s="759"/>
      <c r="AO268" s="759"/>
      <c r="AP268" s="760"/>
      <c r="AR268" s="119">
        <f ca="1">INDIRECT("U12対戦スケジュール!U"&amp;(ROW())/2-AR$260)</f>
        <v>3</v>
      </c>
      <c r="AS268" s="119">
        <f ca="1">INDIRECT("U12対戦スケジュール!W"&amp;(ROW())/2-AR$260)</f>
        <v>4</v>
      </c>
      <c r="AU268" s="102"/>
      <c r="AV268" s="102"/>
    </row>
    <row r="269" spans="1:48" s="96" customFormat="1" ht="19.5" customHeight="1" x14ac:dyDescent="0.4">
      <c r="B269" s="644"/>
      <c r="C269" s="648"/>
      <c r="D269" s="649"/>
      <c r="E269" s="650"/>
      <c r="F269" s="583"/>
      <c r="G269" s="583"/>
      <c r="H269" s="583"/>
      <c r="I269" s="583"/>
      <c r="J269" s="747"/>
      <c r="K269" s="747"/>
      <c r="L269" s="747"/>
      <c r="M269" s="747"/>
      <c r="N269" s="747"/>
      <c r="O269" s="747"/>
      <c r="P269" s="747"/>
      <c r="Q269" s="631"/>
      <c r="R269" s="633"/>
      <c r="S269" s="100">
        <v>0</v>
      </c>
      <c r="T269" s="101" t="s">
        <v>7</v>
      </c>
      <c r="U269" s="100">
        <v>1</v>
      </c>
      <c r="V269" s="631"/>
      <c r="W269" s="633"/>
      <c r="X269" s="747"/>
      <c r="Y269" s="747"/>
      <c r="Z269" s="747"/>
      <c r="AA269" s="747"/>
      <c r="AB269" s="747"/>
      <c r="AC269" s="747"/>
      <c r="AD269" s="747"/>
      <c r="AE269" s="583"/>
      <c r="AF269" s="583"/>
      <c r="AG269" s="583"/>
      <c r="AH269" s="583"/>
      <c r="AI269" s="761"/>
      <c r="AJ269" s="762"/>
      <c r="AK269" s="762"/>
      <c r="AL269" s="762"/>
      <c r="AM269" s="762"/>
      <c r="AN269" s="762"/>
      <c r="AO269" s="762"/>
      <c r="AP269" s="763"/>
      <c r="AR269" s="119"/>
      <c r="AS269" s="119"/>
      <c r="AU269" s="102"/>
      <c r="AV269" s="102"/>
    </row>
    <row r="270" spans="1:48" s="96" customFormat="1" ht="19.5" customHeight="1" x14ac:dyDescent="0.4">
      <c r="B270" s="644" t="str">
        <f t="shared" ref="B270" ca="1" si="10">DBCS(INDIRECT("U12対戦スケジュール!s"&amp;(ROW())/2-AR$260))</f>
        <v>②</v>
      </c>
      <c r="C270" s="645">
        <f t="shared" ref="C270" ca="1" si="11">INDIRECT("U12対戦スケジュール!t"&amp;(ROW())/2-AR$260)</f>
        <v>0.41699999999999998</v>
      </c>
      <c r="D270" s="646"/>
      <c r="E270" s="647"/>
      <c r="F270" s="583"/>
      <c r="G270" s="583"/>
      <c r="H270" s="583"/>
      <c r="I270" s="583"/>
      <c r="J270" s="746" t="str">
        <f ca="1">VLOOKUP(AR270,U12組合せ!B$10:K$19,9,TRUE)</f>
        <v>陽東SSS</v>
      </c>
      <c r="K270" s="747"/>
      <c r="L270" s="747"/>
      <c r="M270" s="747"/>
      <c r="N270" s="747"/>
      <c r="O270" s="747"/>
      <c r="P270" s="747"/>
      <c r="Q270" s="634">
        <f>IF(OR(S270="",S271=""),"",S270+S271)</f>
        <v>1</v>
      </c>
      <c r="R270" s="634"/>
      <c r="S270" s="100">
        <v>1</v>
      </c>
      <c r="T270" s="101" t="s">
        <v>7</v>
      </c>
      <c r="U270" s="100">
        <v>0</v>
      </c>
      <c r="V270" s="634">
        <f>IF(OR(U270="",U271=""),"",U270+U271)</f>
        <v>1</v>
      </c>
      <c r="W270" s="634"/>
      <c r="X270" s="746" t="str">
        <f ca="1">VLOOKUP(AS270,U12組合せ!B$10:K$19,9,TRUE)</f>
        <v>清原フューチャーズ</v>
      </c>
      <c r="Y270" s="747"/>
      <c r="Z270" s="747"/>
      <c r="AA270" s="747"/>
      <c r="AB270" s="747"/>
      <c r="AC270" s="747"/>
      <c r="AD270" s="747"/>
      <c r="AE270" s="583"/>
      <c r="AF270" s="583"/>
      <c r="AG270" s="583"/>
      <c r="AH270" s="583"/>
      <c r="AI270" s="758" t="str">
        <f ca="1">DBCS(INDIRECT("U12対戦スケジュール!X"&amp;(ROW())/2-AR$260))</f>
        <v>３／４／８／３</v>
      </c>
      <c r="AJ270" s="759"/>
      <c r="AK270" s="759"/>
      <c r="AL270" s="759"/>
      <c r="AM270" s="759"/>
      <c r="AN270" s="759"/>
      <c r="AO270" s="759"/>
      <c r="AP270" s="760"/>
      <c r="AR270" s="119">
        <f ca="1">INDIRECT("U12対戦スケジュール!U"&amp;(ROW())/2-AR$260)</f>
        <v>8</v>
      </c>
      <c r="AS270" s="119">
        <f ca="1">INDIRECT("U12対戦スケジュール!W"&amp;(ROW())/2-AR$260)</f>
        <v>4</v>
      </c>
      <c r="AU270" s="102"/>
      <c r="AV270" s="102"/>
    </row>
    <row r="271" spans="1:48" s="96" customFormat="1" ht="19.5" customHeight="1" x14ac:dyDescent="0.4">
      <c r="B271" s="644"/>
      <c r="C271" s="648"/>
      <c r="D271" s="649"/>
      <c r="E271" s="650"/>
      <c r="F271" s="583"/>
      <c r="G271" s="583"/>
      <c r="H271" s="583"/>
      <c r="I271" s="583"/>
      <c r="J271" s="747"/>
      <c r="K271" s="747"/>
      <c r="L271" s="747"/>
      <c r="M271" s="747"/>
      <c r="N271" s="747"/>
      <c r="O271" s="747"/>
      <c r="P271" s="747"/>
      <c r="Q271" s="634"/>
      <c r="R271" s="634"/>
      <c r="S271" s="100">
        <v>0</v>
      </c>
      <c r="T271" s="101" t="s">
        <v>7</v>
      </c>
      <c r="U271" s="100">
        <v>1</v>
      </c>
      <c r="V271" s="634"/>
      <c r="W271" s="634"/>
      <c r="X271" s="747"/>
      <c r="Y271" s="747"/>
      <c r="Z271" s="747"/>
      <c r="AA271" s="747"/>
      <c r="AB271" s="747"/>
      <c r="AC271" s="747"/>
      <c r="AD271" s="747"/>
      <c r="AE271" s="583"/>
      <c r="AF271" s="583"/>
      <c r="AG271" s="583"/>
      <c r="AH271" s="583"/>
      <c r="AI271" s="761"/>
      <c r="AJ271" s="762"/>
      <c r="AK271" s="762"/>
      <c r="AL271" s="762"/>
      <c r="AM271" s="762"/>
      <c r="AN271" s="762"/>
      <c r="AO271" s="762"/>
      <c r="AP271" s="763"/>
      <c r="AR271" s="119"/>
      <c r="AS271" s="119"/>
      <c r="AU271" s="102"/>
      <c r="AV271" s="102"/>
    </row>
    <row r="272" spans="1:48" s="96" customFormat="1" ht="19.5" customHeight="1" x14ac:dyDescent="0.4">
      <c r="B272" s="644" t="str">
        <f t="shared" ref="B272" ca="1" si="12">DBCS(INDIRECT("U12対戦スケジュール!s"&amp;(ROW())/2-AR$260))</f>
        <v>③</v>
      </c>
      <c r="C272" s="645">
        <f t="shared" ref="C272" ca="1" si="13">INDIRECT("U12対戦スケジュール!t"&amp;(ROW())/2-AR$260)</f>
        <v>0.45899999999999996</v>
      </c>
      <c r="D272" s="646"/>
      <c r="E272" s="647"/>
      <c r="F272" s="583"/>
      <c r="G272" s="583"/>
      <c r="H272" s="583"/>
      <c r="I272" s="583"/>
      <c r="J272" s="746" t="str">
        <f ca="1">VLOOKUP(AR272,U12組合せ!B$10:K$19,9,TRUE)</f>
        <v>陽東SSS</v>
      </c>
      <c r="K272" s="747"/>
      <c r="L272" s="747"/>
      <c r="M272" s="747"/>
      <c r="N272" s="747"/>
      <c r="O272" s="747"/>
      <c r="P272" s="747"/>
      <c r="Q272" s="634">
        <f>IF(OR(S272="",S273=""),"",S272+S273)</f>
        <v>4</v>
      </c>
      <c r="R272" s="634"/>
      <c r="S272" s="100">
        <v>1</v>
      </c>
      <c r="T272" s="101" t="s">
        <v>7</v>
      </c>
      <c r="U272" s="100">
        <v>0</v>
      </c>
      <c r="V272" s="634">
        <f>IF(OR(U272="",U273=""),"",U272+U273)</f>
        <v>0</v>
      </c>
      <c r="W272" s="634"/>
      <c r="X272" s="746" t="str">
        <f ca="1">VLOOKUP(AS272,U12組合せ!B$10:K$19,9,TRUE)</f>
        <v>宇大付属小SSS U11</v>
      </c>
      <c r="Y272" s="747"/>
      <c r="Z272" s="747"/>
      <c r="AA272" s="747"/>
      <c r="AB272" s="747"/>
      <c r="AC272" s="747"/>
      <c r="AD272" s="747"/>
      <c r="AE272" s="583"/>
      <c r="AF272" s="583"/>
      <c r="AG272" s="583"/>
      <c r="AH272" s="583"/>
      <c r="AI272" s="758" t="str">
        <f ca="1">DBCS(INDIRECT("U12対戦スケジュール!X"&amp;(ROW())/2-AR$260))</f>
        <v>４／８／３／４</v>
      </c>
      <c r="AJ272" s="759"/>
      <c r="AK272" s="759"/>
      <c r="AL272" s="759"/>
      <c r="AM272" s="759"/>
      <c r="AN272" s="759"/>
      <c r="AO272" s="759"/>
      <c r="AP272" s="760"/>
      <c r="AR272" s="119">
        <f ca="1">INDIRECT("U12対戦スケジュール!U"&amp;(ROW())/2-AR$260)</f>
        <v>8</v>
      </c>
      <c r="AS272" s="119">
        <f ca="1">INDIRECT("U12対戦スケジュール!W"&amp;(ROW())/2-AR$260)</f>
        <v>3</v>
      </c>
      <c r="AU272" s="102"/>
      <c r="AV272" s="102"/>
    </row>
    <row r="273" spans="1:48" s="96" customFormat="1" ht="19.5" customHeight="1" x14ac:dyDescent="0.4">
      <c r="B273" s="644"/>
      <c r="C273" s="648"/>
      <c r="D273" s="649"/>
      <c r="E273" s="650"/>
      <c r="F273" s="583"/>
      <c r="G273" s="583"/>
      <c r="H273" s="583"/>
      <c r="I273" s="583"/>
      <c r="J273" s="747"/>
      <c r="K273" s="747"/>
      <c r="L273" s="747"/>
      <c r="M273" s="747"/>
      <c r="N273" s="747"/>
      <c r="O273" s="747"/>
      <c r="P273" s="747"/>
      <c r="Q273" s="634"/>
      <c r="R273" s="634"/>
      <c r="S273" s="100">
        <v>3</v>
      </c>
      <c r="T273" s="101" t="s">
        <v>7</v>
      </c>
      <c r="U273" s="100">
        <v>0</v>
      </c>
      <c r="V273" s="634"/>
      <c r="W273" s="634"/>
      <c r="X273" s="747"/>
      <c r="Y273" s="747"/>
      <c r="Z273" s="747"/>
      <c r="AA273" s="747"/>
      <c r="AB273" s="747"/>
      <c r="AC273" s="747"/>
      <c r="AD273" s="747"/>
      <c r="AE273" s="583"/>
      <c r="AF273" s="583"/>
      <c r="AG273" s="583"/>
      <c r="AH273" s="583"/>
      <c r="AI273" s="761"/>
      <c r="AJ273" s="762"/>
      <c r="AK273" s="762"/>
      <c r="AL273" s="762"/>
      <c r="AM273" s="762"/>
      <c r="AN273" s="762"/>
      <c r="AO273" s="762"/>
      <c r="AP273" s="763"/>
      <c r="AR273" s="119"/>
      <c r="AS273" s="119"/>
      <c r="AU273" s="102"/>
      <c r="AV273" s="102"/>
    </row>
    <row r="274" spans="1:48" s="96" customFormat="1" ht="19.5" customHeight="1" x14ac:dyDescent="0.4">
      <c r="B274" s="586"/>
      <c r="C274" s="739"/>
      <c r="D274" s="740"/>
      <c r="E274" s="741"/>
      <c r="F274" s="704"/>
      <c r="G274" s="704"/>
      <c r="H274" s="704"/>
      <c r="I274" s="704"/>
      <c r="J274" s="701"/>
      <c r="K274" s="702"/>
      <c r="L274" s="702"/>
      <c r="M274" s="702"/>
      <c r="N274" s="702"/>
      <c r="O274" s="702"/>
      <c r="P274" s="702"/>
      <c r="Q274" s="705"/>
      <c r="R274" s="705"/>
      <c r="S274" s="109"/>
      <c r="T274" s="110"/>
      <c r="U274" s="109"/>
      <c r="V274" s="705"/>
      <c r="W274" s="705"/>
      <c r="X274" s="701"/>
      <c r="Y274" s="702"/>
      <c r="Z274" s="702"/>
      <c r="AA274" s="702"/>
      <c r="AB274" s="702"/>
      <c r="AC274" s="702"/>
      <c r="AD274" s="702"/>
      <c r="AE274" s="704"/>
      <c r="AF274" s="704"/>
      <c r="AG274" s="704"/>
      <c r="AH274" s="704"/>
      <c r="AI274" s="706"/>
      <c r="AJ274" s="707"/>
      <c r="AK274" s="707"/>
      <c r="AL274" s="707"/>
      <c r="AM274" s="707"/>
      <c r="AN274" s="707"/>
      <c r="AO274" s="707"/>
      <c r="AP274" s="707"/>
      <c r="AR274" s="119"/>
      <c r="AS274" s="119"/>
      <c r="AU274" s="102"/>
      <c r="AV274" s="102"/>
    </row>
    <row r="275" spans="1:48" s="96" customFormat="1" ht="19.5" customHeight="1" x14ac:dyDescent="0.4">
      <c r="B275" s="644"/>
      <c r="C275" s="648"/>
      <c r="D275" s="649"/>
      <c r="E275" s="650"/>
      <c r="F275" s="583"/>
      <c r="G275" s="583"/>
      <c r="H275" s="583"/>
      <c r="I275" s="583"/>
      <c r="J275" s="703"/>
      <c r="K275" s="703"/>
      <c r="L275" s="703"/>
      <c r="M275" s="703"/>
      <c r="N275" s="703"/>
      <c r="O275" s="703"/>
      <c r="P275" s="703"/>
      <c r="Q275" s="634"/>
      <c r="R275" s="634"/>
      <c r="S275" s="100"/>
      <c r="T275" s="101"/>
      <c r="U275" s="100"/>
      <c r="V275" s="634"/>
      <c r="W275" s="634"/>
      <c r="X275" s="703"/>
      <c r="Y275" s="703"/>
      <c r="Z275" s="703"/>
      <c r="AA275" s="703"/>
      <c r="AB275" s="703"/>
      <c r="AC275" s="703"/>
      <c r="AD275" s="703"/>
      <c r="AE275" s="583"/>
      <c r="AF275" s="583"/>
      <c r="AG275" s="583"/>
      <c r="AH275" s="583"/>
      <c r="AI275" s="708"/>
      <c r="AJ275" s="708"/>
      <c r="AK275" s="708"/>
      <c r="AL275" s="708"/>
      <c r="AM275" s="708"/>
      <c r="AN275" s="708"/>
      <c r="AO275" s="708"/>
      <c r="AP275" s="708"/>
      <c r="AR275" s="119"/>
      <c r="AS275" s="119"/>
      <c r="AU275" s="102"/>
      <c r="AV275" s="102"/>
    </row>
    <row r="276" spans="1:48" s="96" customFormat="1" ht="19.5" customHeight="1" x14ac:dyDescent="0.4">
      <c r="B276" s="585"/>
      <c r="C276" s="587"/>
      <c r="D276" s="588"/>
      <c r="E276" s="589"/>
      <c r="F276" s="622"/>
      <c r="G276" s="623"/>
      <c r="H276" s="623"/>
      <c r="I276" s="624"/>
      <c r="J276" s="689"/>
      <c r="K276" s="690"/>
      <c r="L276" s="690"/>
      <c r="M276" s="690"/>
      <c r="N276" s="690"/>
      <c r="O276" s="690"/>
      <c r="P276" s="691"/>
      <c r="Q276" s="628"/>
      <c r="R276" s="630"/>
      <c r="S276" s="100"/>
      <c r="T276" s="101"/>
      <c r="U276" s="100"/>
      <c r="V276" s="628"/>
      <c r="W276" s="630"/>
      <c r="X276" s="695"/>
      <c r="Y276" s="696"/>
      <c r="Z276" s="696"/>
      <c r="AA276" s="696"/>
      <c r="AB276" s="696"/>
      <c r="AC276" s="696"/>
      <c r="AD276" s="697"/>
      <c r="AE276" s="622"/>
      <c r="AF276" s="623"/>
      <c r="AG276" s="623"/>
      <c r="AH276" s="624"/>
      <c r="AI276" s="628"/>
      <c r="AJ276" s="629"/>
      <c r="AK276" s="629"/>
      <c r="AL276" s="629"/>
      <c r="AM276" s="629"/>
      <c r="AN276" s="629"/>
      <c r="AO276" s="629"/>
      <c r="AP276" s="630"/>
      <c r="AU276" s="102"/>
      <c r="AV276" s="102"/>
    </row>
    <row r="277" spans="1:48" s="96" customFormat="1" ht="19.5" customHeight="1" x14ac:dyDescent="0.4">
      <c r="B277" s="586"/>
      <c r="C277" s="590"/>
      <c r="D277" s="591"/>
      <c r="E277" s="592"/>
      <c r="F277" s="625"/>
      <c r="G277" s="626"/>
      <c r="H277" s="626"/>
      <c r="I277" s="627"/>
      <c r="J277" s="692"/>
      <c r="K277" s="693"/>
      <c r="L277" s="693"/>
      <c r="M277" s="693"/>
      <c r="N277" s="693"/>
      <c r="O277" s="693"/>
      <c r="P277" s="694"/>
      <c r="Q277" s="631"/>
      <c r="R277" s="633"/>
      <c r="S277" s="100"/>
      <c r="T277" s="101"/>
      <c r="U277" s="100"/>
      <c r="V277" s="631"/>
      <c r="W277" s="633"/>
      <c r="X277" s="698"/>
      <c r="Y277" s="699"/>
      <c r="Z277" s="699"/>
      <c r="AA277" s="699"/>
      <c r="AB277" s="699"/>
      <c r="AC277" s="699"/>
      <c r="AD277" s="700"/>
      <c r="AE277" s="625"/>
      <c r="AF277" s="626"/>
      <c r="AG277" s="626"/>
      <c r="AH277" s="627"/>
      <c r="AI277" s="631"/>
      <c r="AJ277" s="632"/>
      <c r="AK277" s="632"/>
      <c r="AL277" s="632"/>
      <c r="AM277" s="632"/>
      <c r="AN277" s="632"/>
      <c r="AO277" s="632"/>
      <c r="AP277" s="633"/>
      <c r="AU277" s="102"/>
      <c r="AV277" s="102"/>
    </row>
    <row r="278" spans="1:48" s="96" customFormat="1" ht="19.5" customHeight="1" x14ac:dyDescent="0.4">
      <c r="B278" s="585"/>
      <c r="C278" s="587"/>
      <c r="D278" s="588"/>
      <c r="E278" s="589"/>
      <c r="F278" s="622"/>
      <c r="G278" s="623"/>
      <c r="H278" s="623"/>
      <c r="I278" s="624"/>
      <c r="J278" s="689"/>
      <c r="K278" s="690"/>
      <c r="L278" s="690"/>
      <c r="M278" s="690"/>
      <c r="N278" s="690"/>
      <c r="O278" s="690"/>
      <c r="P278" s="691"/>
      <c r="Q278" s="628"/>
      <c r="R278" s="630"/>
      <c r="S278" s="100"/>
      <c r="T278" s="101"/>
      <c r="U278" s="100"/>
      <c r="V278" s="628"/>
      <c r="W278" s="630"/>
      <c r="X278" s="695"/>
      <c r="Y278" s="696"/>
      <c r="Z278" s="696"/>
      <c r="AA278" s="696"/>
      <c r="AB278" s="696"/>
      <c r="AC278" s="696"/>
      <c r="AD278" s="697"/>
      <c r="AE278" s="622"/>
      <c r="AF278" s="623"/>
      <c r="AG278" s="623"/>
      <c r="AH278" s="624"/>
      <c r="AI278" s="628"/>
      <c r="AJ278" s="629"/>
      <c r="AK278" s="629"/>
      <c r="AL278" s="629"/>
      <c r="AM278" s="629"/>
      <c r="AN278" s="629"/>
      <c r="AO278" s="629"/>
      <c r="AP278" s="630"/>
      <c r="AU278" s="102"/>
      <c r="AV278" s="102"/>
    </row>
    <row r="279" spans="1:48" s="96" customFormat="1" ht="19.5" customHeight="1" x14ac:dyDescent="0.4">
      <c r="B279" s="586"/>
      <c r="C279" s="590"/>
      <c r="D279" s="591"/>
      <c r="E279" s="592"/>
      <c r="F279" s="625"/>
      <c r="G279" s="626"/>
      <c r="H279" s="626"/>
      <c r="I279" s="627"/>
      <c r="J279" s="692"/>
      <c r="K279" s="693"/>
      <c r="L279" s="693"/>
      <c r="M279" s="693"/>
      <c r="N279" s="693"/>
      <c r="O279" s="693"/>
      <c r="P279" s="694"/>
      <c r="Q279" s="631"/>
      <c r="R279" s="633"/>
      <c r="S279" s="100"/>
      <c r="T279" s="101"/>
      <c r="U279" s="100"/>
      <c r="V279" s="631"/>
      <c r="W279" s="633"/>
      <c r="X279" s="698"/>
      <c r="Y279" s="699"/>
      <c r="Z279" s="699"/>
      <c r="AA279" s="699"/>
      <c r="AB279" s="699"/>
      <c r="AC279" s="699"/>
      <c r="AD279" s="700"/>
      <c r="AE279" s="625"/>
      <c r="AF279" s="626"/>
      <c r="AG279" s="626"/>
      <c r="AH279" s="627"/>
      <c r="AI279" s="631"/>
      <c r="AJ279" s="632"/>
      <c r="AK279" s="632"/>
      <c r="AL279" s="632"/>
      <c r="AM279" s="632"/>
      <c r="AN279" s="632"/>
      <c r="AO279" s="632"/>
      <c r="AP279" s="633"/>
      <c r="AU279" s="102"/>
      <c r="AV279" s="102"/>
    </row>
    <row r="280" spans="1:48" s="96" customFormat="1" ht="16.5" x14ac:dyDescent="0.4">
      <c r="B280" s="585"/>
      <c r="C280" s="587"/>
      <c r="D280" s="588"/>
      <c r="E280" s="589"/>
      <c r="F280" s="622"/>
      <c r="G280" s="623"/>
      <c r="H280" s="623"/>
      <c r="I280" s="624"/>
      <c r="J280" s="689"/>
      <c r="K280" s="690"/>
      <c r="L280" s="690"/>
      <c r="M280" s="690"/>
      <c r="N280" s="690"/>
      <c r="O280" s="690"/>
      <c r="P280" s="691"/>
      <c r="Q280" s="628"/>
      <c r="R280" s="630"/>
      <c r="S280" s="100"/>
      <c r="T280" s="101"/>
      <c r="U280" s="100"/>
      <c r="V280" s="628"/>
      <c r="W280" s="630"/>
      <c r="X280" s="695"/>
      <c r="Y280" s="696"/>
      <c r="Z280" s="696"/>
      <c r="AA280" s="696"/>
      <c r="AB280" s="696"/>
      <c r="AC280" s="696"/>
      <c r="AD280" s="697"/>
      <c r="AE280" s="622"/>
      <c r="AF280" s="623"/>
      <c r="AG280" s="623"/>
      <c r="AH280" s="624"/>
      <c r="AI280" s="628"/>
      <c r="AJ280" s="629"/>
      <c r="AK280" s="629"/>
      <c r="AL280" s="629"/>
      <c r="AM280" s="629"/>
      <c r="AN280" s="629"/>
      <c r="AO280" s="629"/>
      <c r="AP280" s="630"/>
      <c r="AU280" s="102"/>
      <c r="AV280" s="102"/>
    </row>
    <row r="281" spans="1:48" s="96" customFormat="1" ht="16.5" x14ac:dyDescent="0.4">
      <c r="B281" s="586"/>
      <c r="C281" s="590"/>
      <c r="D281" s="591"/>
      <c r="E281" s="592"/>
      <c r="F281" s="625"/>
      <c r="G281" s="626"/>
      <c r="H281" s="626"/>
      <c r="I281" s="627"/>
      <c r="J281" s="692"/>
      <c r="K281" s="693"/>
      <c r="L281" s="693"/>
      <c r="M281" s="693"/>
      <c r="N281" s="693"/>
      <c r="O281" s="693"/>
      <c r="P281" s="694"/>
      <c r="Q281" s="631"/>
      <c r="R281" s="633"/>
      <c r="S281" s="100"/>
      <c r="T281" s="101"/>
      <c r="U281" s="100"/>
      <c r="V281" s="631"/>
      <c r="W281" s="633"/>
      <c r="X281" s="698"/>
      <c r="Y281" s="699"/>
      <c r="Z281" s="699"/>
      <c r="AA281" s="699"/>
      <c r="AB281" s="699"/>
      <c r="AC281" s="699"/>
      <c r="AD281" s="700"/>
      <c r="AE281" s="625"/>
      <c r="AF281" s="626"/>
      <c r="AG281" s="626"/>
      <c r="AH281" s="627"/>
      <c r="AI281" s="631"/>
      <c r="AJ281" s="632"/>
      <c r="AK281" s="632"/>
      <c r="AL281" s="632"/>
      <c r="AM281" s="632"/>
      <c r="AN281" s="632"/>
      <c r="AO281" s="632"/>
      <c r="AP281" s="633"/>
      <c r="AU281" s="102"/>
      <c r="AV281" s="102"/>
    </row>
    <row r="282" spans="1:48" s="96" customFormat="1" ht="20.25" thickBot="1" x14ac:dyDescent="0.45">
      <c r="A282" s="102"/>
      <c r="B282" s="103"/>
      <c r="C282" s="104"/>
      <c r="D282" s="104"/>
      <c r="E282" s="104"/>
      <c r="F282" s="103"/>
      <c r="G282" s="103"/>
      <c r="H282" s="103"/>
      <c r="I282" s="103"/>
      <c r="J282" s="103"/>
      <c r="K282" s="105"/>
      <c r="L282" s="105"/>
      <c r="M282" s="106"/>
      <c r="N282" s="107"/>
      <c r="O282" s="106"/>
      <c r="P282" s="105"/>
      <c r="Q282" s="105"/>
      <c r="R282" s="103"/>
      <c r="S282" s="103"/>
      <c r="T282" s="103"/>
      <c r="U282" s="103"/>
      <c r="V282" s="103"/>
      <c r="W282" s="108"/>
      <c r="X282" s="108"/>
      <c r="Y282" s="108"/>
      <c r="Z282" s="108"/>
      <c r="AA282" s="108"/>
      <c r="AB282" s="108"/>
      <c r="AC282" s="102"/>
      <c r="AU282" s="102"/>
      <c r="AV282" s="102"/>
    </row>
    <row r="283" spans="1:48" s="96" customFormat="1" ht="20.25" thickBot="1" x14ac:dyDescent="0.45">
      <c r="D283" s="664" t="s">
        <v>8</v>
      </c>
      <c r="E283" s="665"/>
      <c r="F283" s="665"/>
      <c r="G283" s="665"/>
      <c r="H283" s="665"/>
      <c r="I283" s="666"/>
      <c r="J283" s="667" t="s">
        <v>5</v>
      </c>
      <c r="K283" s="665"/>
      <c r="L283" s="665"/>
      <c r="M283" s="665"/>
      <c r="N283" s="665"/>
      <c r="O283" s="665"/>
      <c r="P283" s="665"/>
      <c r="Q283" s="666"/>
      <c r="R283" s="668" t="s">
        <v>9</v>
      </c>
      <c r="S283" s="669"/>
      <c r="T283" s="669"/>
      <c r="U283" s="669"/>
      <c r="V283" s="669"/>
      <c r="W283" s="669"/>
      <c r="X283" s="669"/>
      <c r="Y283" s="669"/>
      <c r="Z283" s="670"/>
      <c r="AA283" s="609" t="s">
        <v>10</v>
      </c>
      <c r="AB283" s="610"/>
      <c r="AC283" s="671"/>
      <c r="AD283" s="609" t="s">
        <v>11</v>
      </c>
      <c r="AE283" s="610"/>
      <c r="AF283" s="610"/>
      <c r="AG283" s="610"/>
      <c r="AH283" s="610"/>
      <c r="AI283" s="610"/>
      <c r="AJ283" s="610"/>
      <c r="AK283" s="610"/>
      <c r="AL283" s="610"/>
      <c r="AM283" s="611"/>
      <c r="AU283" s="102"/>
      <c r="AV283" s="102"/>
    </row>
    <row r="284" spans="1:48" s="96" customFormat="1" ht="28.5" customHeight="1" x14ac:dyDescent="0.4">
      <c r="D284" s="651" t="s">
        <v>298</v>
      </c>
      <c r="E284" s="652"/>
      <c r="F284" s="652"/>
      <c r="G284" s="652"/>
      <c r="H284" s="652"/>
      <c r="I284" s="653"/>
      <c r="J284" s="654"/>
      <c r="K284" s="652"/>
      <c r="L284" s="652"/>
      <c r="M284" s="652"/>
      <c r="N284" s="652"/>
      <c r="O284" s="652"/>
      <c r="P284" s="652"/>
      <c r="Q284" s="653"/>
      <c r="R284" s="655"/>
      <c r="S284" s="656"/>
      <c r="T284" s="656"/>
      <c r="U284" s="656"/>
      <c r="V284" s="656"/>
      <c r="W284" s="656"/>
      <c r="X284" s="656"/>
      <c r="Y284" s="656"/>
      <c r="Z284" s="657"/>
      <c r="AA284" s="658"/>
      <c r="AB284" s="659"/>
      <c r="AC284" s="660"/>
      <c r="AD284" s="661"/>
      <c r="AE284" s="662"/>
      <c r="AF284" s="662"/>
      <c r="AG284" s="662"/>
      <c r="AH284" s="662"/>
      <c r="AI284" s="662"/>
      <c r="AJ284" s="662"/>
      <c r="AK284" s="662"/>
      <c r="AL284" s="662"/>
      <c r="AM284" s="663"/>
      <c r="AU284" s="102"/>
      <c r="AV284" s="102"/>
    </row>
    <row r="285" spans="1:48" s="96" customFormat="1" ht="28.5" customHeight="1" x14ac:dyDescent="0.4">
      <c r="D285" s="688" t="s">
        <v>12</v>
      </c>
      <c r="E285" s="604"/>
      <c r="F285" s="604"/>
      <c r="G285" s="604"/>
      <c r="H285" s="604"/>
      <c r="I285" s="605"/>
      <c r="J285" s="603"/>
      <c r="K285" s="604"/>
      <c r="L285" s="604"/>
      <c r="M285" s="604"/>
      <c r="N285" s="604"/>
      <c r="O285" s="604"/>
      <c r="P285" s="604"/>
      <c r="Q285" s="605"/>
      <c r="R285" s="606"/>
      <c r="S285" s="607"/>
      <c r="T285" s="607"/>
      <c r="U285" s="607"/>
      <c r="V285" s="607"/>
      <c r="W285" s="607"/>
      <c r="X285" s="607"/>
      <c r="Y285" s="607"/>
      <c r="Z285" s="608"/>
      <c r="AA285" s="606"/>
      <c r="AB285" s="607"/>
      <c r="AC285" s="608"/>
      <c r="AD285" s="672"/>
      <c r="AE285" s="673"/>
      <c r="AF285" s="673"/>
      <c r="AG285" s="673"/>
      <c r="AH285" s="673"/>
      <c r="AI285" s="673"/>
      <c r="AJ285" s="673"/>
      <c r="AK285" s="673"/>
      <c r="AL285" s="673"/>
      <c r="AM285" s="674"/>
      <c r="AU285" s="102"/>
      <c r="AV285" s="102"/>
    </row>
    <row r="286" spans="1:48" s="96" customFormat="1" ht="28.5" customHeight="1" thickBot="1" x14ac:dyDescent="0.45">
      <c r="D286" s="675" t="s">
        <v>12</v>
      </c>
      <c r="E286" s="676"/>
      <c r="F286" s="676"/>
      <c r="G286" s="676"/>
      <c r="H286" s="676"/>
      <c r="I286" s="677"/>
      <c r="J286" s="678"/>
      <c r="K286" s="676"/>
      <c r="L286" s="676"/>
      <c r="M286" s="676"/>
      <c r="N286" s="676"/>
      <c r="O286" s="676"/>
      <c r="P286" s="676"/>
      <c r="Q286" s="677"/>
      <c r="R286" s="679"/>
      <c r="S286" s="680"/>
      <c r="T286" s="680"/>
      <c r="U286" s="680"/>
      <c r="V286" s="680"/>
      <c r="W286" s="680"/>
      <c r="X286" s="680"/>
      <c r="Y286" s="680"/>
      <c r="Z286" s="681"/>
      <c r="AA286" s="682"/>
      <c r="AB286" s="683"/>
      <c r="AC286" s="684"/>
      <c r="AD286" s="685"/>
      <c r="AE286" s="686"/>
      <c r="AF286" s="686"/>
      <c r="AG286" s="686"/>
      <c r="AH286" s="686"/>
      <c r="AI286" s="686"/>
      <c r="AJ286" s="686"/>
      <c r="AK286" s="686"/>
      <c r="AL286" s="686"/>
      <c r="AM286" s="687"/>
      <c r="AU286" s="102"/>
      <c r="AV286" s="102"/>
    </row>
    <row r="287" spans="1:48" s="96" customFormat="1" ht="15.75" x14ac:dyDescent="0.4">
      <c r="AU287" s="102"/>
      <c r="AV287" s="102"/>
    </row>
    <row r="288" spans="1:48" s="96" customFormat="1" ht="27.75" customHeight="1" x14ac:dyDescent="0.4">
      <c r="A288" s="115"/>
      <c r="B288" s="599" t="str">
        <f>U12組合せ!$B$1</f>
        <v>ＪＦＡ　Ｕ-１２サッカーリーグ2021（in栃木） 宇都宮地区リーグ戦（前期）</v>
      </c>
      <c r="C288" s="599"/>
      <c r="D288" s="599"/>
      <c r="E288" s="599"/>
      <c r="F288" s="599"/>
      <c r="G288" s="599"/>
      <c r="H288" s="599"/>
      <c r="I288" s="599"/>
      <c r="J288" s="599"/>
      <c r="K288" s="599"/>
      <c r="L288" s="599"/>
      <c r="M288" s="599"/>
      <c r="N288" s="599"/>
      <c r="O288" s="599"/>
      <c r="P288" s="599"/>
      <c r="Q288" s="599"/>
      <c r="R288" s="599"/>
      <c r="S288" s="599"/>
      <c r="T288" s="599"/>
      <c r="U288" s="599"/>
      <c r="V288" s="599"/>
      <c r="W288" s="599"/>
      <c r="X288" s="599"/>
      <c r="Y288" s="599"/>
      <c r="Z288" s="599"/>
      <c r="AA288" s="599"/>
      <c r="AB288" s="599"/>
      <c r="AC288" s="612" t="str">
        <f>"【"&amp;(U12組合せ!$J$3)&amp;"】"</f>
        <v>【Ｄ ブロック】</v>
      </c>
      <c r="AD288" s="612"/>
      <c r="AE288" s="612"/>
      <c r="AF288" s="612"/>
      <c r="AG288" s="612"/>
      <c r="AH288" s="612"/>
      <c r="AI288" s="612"/>
      <c r="AJ288" s="612"/>
      <c r="AK288" s="602" t="str">
        <f>"第"&amp;(U12組合せ!$D$39)</f>
        <v>第４節</v>
      </c>
      <c r="AL288" s="602"/>
      <c r="AM288" s="602"/>
      <c r="AN288" s="602"/>
      <c r="AO288" s="602"/>
      <c r="AP288" s="597" t="s">
        <v>299</v>
      </c>
      <c r="AQ288" s="598"/>
      <c r="AU288" s="102"/>
      <c r="AV288" s="102"/>
    </row>
    <row r="289" spans="1:48" s="96" customFormat="1" ht="15" customHeight="1" x14ac:dyDescent="0.4">
      <c r="A289" s="115"/>
      <c r="B289" s="599"/>
      <c r="C289" s="599"/>
      <c r="D289" s="599"/>
      <c r="E289" s="599"/>
      <c r="F289" s="599"/>
      <c r="G289" s="599"/>
      <c r="H289" s="599"/>
      <c r="I289" s="599"/>
      <c r="J289" s="599"/>
      <c r="K289" s="599"/>
      <c r="L289" s="599"/>
      <c r="M289" s="599"/>
      <c r="N289" s="599"/>
      <c r="O289" s="599"/>
      <c r="P289" s="599"/>
      <c r="Q289" s="599"/>
      <c r="R289" s="599"/>
      <c r="S289" s="599"/>
      <c r="T289" s="599"/>
      <c r="U289" s="599"/>
      <c r="V289" s="599"/>
      <c r="W289" s="599"/>
      <c r="X289" s="599"/>
      <c r="Y289" s="599"/>
      <c r="Z289" s="599"/>
      <c r="AA289" s="599"/>
      <c r="AB289" s="599"/>
      <c r="AC289" s="601"/>
      <c r="AD289" s="601"/>
      <c r="AE289" s="601"/>
      <c r="AF289" s="601"/>
      <c r="AG289" s="601"/>
      <c r="AH289" s="601"/>
      <c r="AI289" s="601"/>
      <c r="AJ289" s="601"/>
      <c r="AK289" s="601"/>
      <c r="AL289" s="601"/>
      <c r="AM289" s="601"/>
      <c r="AN289" s="601"/>
      <c r="AO289" s="612"/>
      <c r="AP289" s="598"/>
      <c r="AQ289" s="598"/>
      <c r="AU289" s="102"/>
      <c r="AV289" s="102"/>
    </row>
    <row r="290" spans="1:48" s="96" customFormat="1" ht="29.25" customHeight="1" x14ac:dyDescent="0.4">
      <c r="C290" s="635" t="s">
        <v>1</v>
      </c>
      <c r="D290" s="635"/>
      <c r="E290" s="635"/>
      <c r="F290" s="635"/>
      <c r="G290" s="725" t="str">
        <f>U12対戦スケジュール!U80</f>
        <v>錦小 AM</v>
      </c>
      <c r="H290" s="726"/>
      <c r="I290" s="726"/>
      <c r="J290" s="726"/>
      <c r="K290" s="726"/>
      <c r="L290" s="726"/>
      <c r="M290" s="726"/>
      <c r="N290" s="726"/>
      <c r="O290" s="727"/>
      <c r="P290" s="635" t="s">
        <v>0</v>
      </c>
      <c r="Q290" s="635"/>
      <c r="R290" s="635"/>
      <c r="S290" s="635"/>
      <c r="T290" s="725" t="str">
        <f>E292</f>
        <v>FCブロケード</v>
      </c>
      <c r="U290" s="726"/>
      <c r="V290" s="726"/>
      <c r="W290" s="726"/>
      <c r="X290" s="726"/>
      <c r="Y290" s="726"/>
      <c r="Z290" s="726"/>
      <c r="AA290" s="726"/>
      <c r="AB290" s="727"/>
      <c r="AC290" s="635" t="s">
        <v>2</v>
      </c>
      <c r="AD290" s="635"/>
      <c r="AE290" s="635"/>
      <c r="AF290" s="635"/>
      <c r="AG290" s="618">
        <f>U12組合せ!B$39</f>
        <v>44353</v>
      </c>
      <c r="AH290" s="619"/>
      <c r="AI290" s="619"/>
      <c r="AJ290" s="619"/>
      <c r="AK290" s="619"/>
      <c r="AL290" s="619"/>
      <c r="AM290" s="620" t="str">
        <f>"（"&amp;TEXT(AG290,"aaa")&amp;"）"</f>
        <v>（日）</v>
      </c>
      <c r="AN290" s="620"/>
      <c r="AO290" s="621"/>
      <c r="AP290" s="116"/>
      <c r="AR290" s="96">
        <f>300/2</f>
        <v>150</v>
      </c>
      <c r="AU290" s="102"/>
      <c r="AV290" s="102"/>
    </row>
    <row r="291" spans="1:48" s="96" customFormat="1" ht="17.25" customHeight="1" x14ac:dyDescent="0.4">
      <c r="C291" s="96" t="str">
        <f>U12組合せ!K40</f>
        <v>D168</v>
      </c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95"/>
      <c r="X291" s="95"/>
      <c r="Y291" s="95"/>
      <c r="Z291" s="95"/>
      <c r="AA291" s="95"/>
      <c r="AB291" s="95"/>
      <c r="AC291" s="95"/>
      <c r="AR291" s="96">
        <v>82</v>
      </c>
      <c r="AU291" s="102"/>
      <c r="AV291" s="102"/>
    </row>
    <row r="292" spans="1:48" s="96" customFormat="1" ht="30.75" customHeight="1" x14ac:dyDescent="0.4">
      <c r="C292" s="636">
        <v>1</v>
      </c>
      <c r="D292" s="636"/>
      <c r="E292" s="709" t="str">
        <f>VLOOKUP(C292,U12組合せ!B$10:K$19,9,TRUE)</f>
        <v>FCブロケード</v>
      </c>
      <c r="F292" s="709"/>
      <c r="G292" s="709"/>
      <c r="H292" s="709"/>
      <c r="I292" s="709"/>
      <c r="J292" s="709"/>
      <c r="K292" s="709"/>
      <c r="L292" s="709"/>
      <c r="M292" s="709"/>
      <c r="N292" s="709"/>
      <c r="O292" s="94"/>
      <c r="P292" s="94"/>
      <c r="Q292" s="637">
        <v>4</v>
      </c>
      <c r="R292" s="637"/>
      <c r="S292" s="584" t="str">
        <f>VLOOKUP(Q292,U12組合せ!B$10:K$19,9,TRUE)</f>
        <v>清原フューチャーズ</v>
      </c>
      <c r="T292" s="584"/>
      <c r="U292" s="584"/>
      <c r="V292" s="584"/>
      <c r="W292" s="584"/>
      <c r="X292" s="584"/>
      <c r="Y292" s="584"/>
      <c r="Z292" s="584"/>
      <c r="AA292" s="584"/>
      <c r="AB292" s="584"/>
      <c r="AC292" s="92"/>
      <c r="AD292" s="93"/>
      <c r="AE292" s="637">
        <v>7</v>
      </c>
      <c r="AF292" s="637"/>
      <c r="AG292" s="584" t="str">
        <f>VLOOKUP(AE292,U12組合せ!B$10:'U12組合せ'!K$19,9,TRUE)</f>
        <v>宝木キッカーズ</v>
      </c>
      <c r="AH292" s="584"/>
      <c r="AI292" s="584"/>
      <c r="AJ292" s="584"/>
      <c r="AK292" s="584"/>
      <c r="AL292" s="584"/>
      <c r="AM292" s="584"/>
      <c r="AN292" s="584"/>
      <c r="AO292" s="584"/>
      <c r="AP292" s="584"/>
      <c r="AR292" s="96">
        <f>AR290-AR291</f>
        <v>68</v>
      </c>
      <c r="AU292" s="102"/>
      <c r="AV292" s="102"/>
    </row>
    <row r="293" spans="1:48" s="96" customFormat="1" ht="30.75" customHeight="1" x14ac:dyDescent="0.4">
      <c r="C293" s="637">
        <v>2</v>
      </c>
      <c r="D293" s="637"/>
      <c r="E293" s="584" t="str">
        <f>VLOOKUP(C293,U12組合せ!B$10:K$19,9,TRUE)</f>
        <v>FCみらいV</v>
      </c>
      <c r="F293" s="584"/>
      <c r="G293" s="584"/>
      <c r="H293" s="584"/>
      <c r="I293" s="584"/>
      <c r="J293" s="584"/>
      <c r="K293" s="584"/>
      <c r="L293" s="584"/>
      <c r="M293" s="584"/>
      <c r="N293" s="584"/>
      <c r="O293" s="94"/>
      <c r="P293" s="94"/>
      <c r="Q293" s="637">
        <v>5</v>
      </c>
      <c r="R293" s="637"/>
      <c r="S293" s="584" t="str">
        <f>VLOOKUP(Q293,U12組合せ!B$10:K$19,9,TRUE)</f>
        <v>ウエストフットコムU11</v>
      </c>
      <c r="T293" s="584"/>
      <c r="U293" s="584"/>
      <c r="V293" s="584"/>
      <c r="W293" s="584"/>
      <c r="X293" s="584"/>
      <c r="Y293" s="584"/>
      <c r="Z293" s="584"/>
      <c r="AA293" s="584"/>
      <c r="AB293" s="584"/>
      <c r="AC293" s="92"/>
      <c r="AD293" s="93"/>
      <c r="AE293" s="636">
        <v>8</v>
      </c>
      <c r="AF293" s="636"/>
      <c r="AG293" s="709" t="str">
        <f>VLOOKUP(AE293,U12組合せ!B$10:'U12組合せ'!K$19,9,TRUE)</f>
        <v>陽東SSS</v>
      </c>
      <c r="AH293" s="709"/>
      <c r="AI293" s="709"/>
      <c r="AJ293" s="709"/>
      <c r="AK293" s="709"/>
      <c r="AL293" s="709"/>
      <c r="AM293" s="709"/>
      <c r="AN293" s="709"/>
      <c r="AO293" s="709"/>
      <c r="AP293" s="709"/>
      <c r="AU293" s="102"/>
      <c r="AV293" s="102"/>
    </row>
    <row r="294" spans="1:48" s="96" customFormat="1" ht="30.75" customHeight="1" x14ac:dyDescent="0.4">
      <c r="C294" s="637">
        <v>3</v>
      </c>
      <c r="D294" s="637"/>
      <c r="E294" s="584" t="str">
        <f>VLOOKUP(C294,U12組合せ!B$10:K$19,9,TRUE)</f>
        <v>宇大付属小SSS U11</v>
      </c>
      <c r="F294" s="584"/>
      <c r="G294" s="584"/>
      <c r="H294" s="584"/>
      <c r="I294" s="584"/>
      <c r="J294" s="584"/>
      <c r="K294" s="584"/>
      <c r="L294" s="584"/>
      <c r="M294" s="584"/>
      <c r="N294" s="584"/>
      <c r="O294" s="94"/>
      <c r="P294" s="94"/>
      <c r="Q294" s="636">
        <v>6</v>
      </c>
      <c r="R294" s="636"/>
      <c r="S294" s="709" t="str">
        <f>VLOOKUP(Q294,U12組合せ!B$10:K$19,9,TRUE)</f>
        <v>SUGAOプロミネンス</v>
      </c>
      <c r="T294" s="709"/>
      <c r="U294" s="709"/>
      <c r="V294" s="709"/>
      <c r="W294" s="709"/>
      <c r="X294" s="709"/>
      <c r="Y294" s="709"/>
      <c r="Z294" s="709"/>
      <c r="AA294" s="709"/>
      <c r="AB294" s="709"/>
      <c r="AC294" s="92"/>
      <c r="AD294" s="93"/>
      <c r="AE294" s="637">
        <v>9</v>
      </c>
      <c r="AF294" s="637"/>
      <c r="AG294" s="584" t="str">
        <f>VLOOKUP(AE294,U12組合せ!B$10:'U12組合せ'!K$19,9,TRUE)</f>
        <v>ジュベニール</v>
      </c>
      <c r="AH294" s="584"/>
      <c r="AI294" s="584"/>
      <c r="AJ294" s="584"/>
      <c r="AK294" s="584"/>
      <c r="AL294" s="584"/>
      <c r="AM294" s="584"/>
      <c r="AN294" s="584"/>
      <c r="AO294" s="584"/>
      <c r="AP294" s="584"/>
      <c r="AU294" s="102"/>
      <c r="AV294" s="102"/>
    </row>
    <row r="295" spans="1:48" s="96" customFormat="1" ht="12" customHeight="1" x14ac:dyDescent="0.4">
      <c r="C295" s="121"/>
      <c r="D295" s="121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94"/>
      <c r="P295" s="94"/>
      <c r="Q295" s="123"/>
      <c r="R295" s="123"/>
      <c r="S295" s="124"/>
      <c r="T295" s="124"/>
      <c r="U295" s="124"/>
      <c r="V295" s="124"/>
      <c r="W295" s="124"/>
      <c r="X295" s="124"/>
      <c r="Y295" s="124"/>
      <c r="Z295" s="124"/>
      <c r="AA295" s="124"/>
      <c r="AB295" s="124"/>
      <c r="AC295" s="92"/>
      <c r="AD295" s="93"/>
      <c r="AE295" s="123"/>
      <c r="AF295" s="123"/>
      <c r="AG295" s="124"/>
      <c r="AH295" s="124"/>
      <c r="AI295" s="124"/>
      <c r="AJ295" s="124"/>
      <c r="AK295" s="124"/>
      <c r="AL295" s="124"/>
      <c r="AM295" s="124"/>
      <c r="AN295" s="124"/>
      <c r="AO295" s="124"/>
      <c r="AP295" s="124"/>
      <c r="AU295" s="102"/>
      <c r="AV295" s="102"/>
    </row>
    <row r="296" spans="1:48" s="96" customFormat="1" ht="12" customHeight="1" x14ac:dyDescent="0.4">
      <c r="B296" s="102"/>
      <c r="O296" s="102"/>
      <c r="P296" s="102"/>
      <c r="AC296" s="95"/>
      <c r="AD296" s="102"/>
      <c r="AE296" s="102"/>
      <c r="AF296" s="102"/>
      <c r="AG296" s="102"/>
      <c r="AU296" s="102"/>
      <c r="AV296" s="102"/>
    </row>
    <row r="297" spans="1:48" s="96" customFormat="1" ht="12" customHeight="1" x14ac:dyDescent="0.4">
      <c r="C297" s="117"/>
      <c r="D297" s="118"/>
      <c r="E297" s="118"/>
      <c r="F297" s="118"/>
      <c r="G297" s="118"/>
      <c r="H297" s="118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18"/>
      <c r="U297" s="102"/>
      <c r="V297" s="118"/>
      <c r="W297" s="102"/>
      <c r="X297" s="118"/>
      <c r="Y297" s="102"/>
      <c r="Z297" s="118"/>
      <c r="AA297" s="102"/>
      <c r="AB297" s="118"/>
      <c r="AC297" s="118"/>
      <c r="AU297" s="102"/>
      <c r="AV297" s="102"/>
    </row>
    <row r="298" spans="1:48" s="96" customFormat="1" ht="21.75" customHeight="1" x14ac:dyDescent="0.4">
      <c r="B298" s="118" t="str">
        <f ca="1">IF(B300="①","【監督会議 8：20～】","【監督会議 12：50～】")</f>
        <v>【監督会議 8：20～】</v>
      </c>
      <c r="I298" s="96" t="s">
        <v>330</v>
      </c>
      <c r="AU298" s="102"/>
      <c r="AV298" s="102"/>
    </row>
    <row r="299" spans="1:48" s="96" customFormat="1" ht="19.5" customHeight="1" x14ac:dyDescent="0.4">
      <c r="B299" s="97"/>
      <c r="C299" s="711" t="s">
        <v>3</v>
      </c>
      <c r="D299" s="711"/>
      <c r="E299" s="711"/>
      <c r="F299" s="712" t="s">
        <v>4</v>
      </c>
      <c r="G299" s="712"/>
      <c r="H299" s="712"/>
      <c r="I299" s="712"/>
      <c r="J299" s="711" t="s">
        <v>5</v>
      </c>
      <c r="K299" s="713"/>
      <c r="L299" s="713"/>
      <c r="M299" s="713"/>
      <c r="N299" s="713"/>
      <c r="O299" s="713"/>
      <c r="P299" s="713"/>
      <c r="Q299" s="711" t="s">
        <v>32</v>
      </c>
      <c r="R299" s="711"/>
      <c r="S299" s="711"/>
      <c r="T299" s="711"/>
      <c r="U299" s="711"/>
      <c r="V299" s="711"/>
      <c r="W299" s="711"/>
      <c r="X299" s="711" t="s">
        <v>5</v>
      </c>
      <c r="Y299" s="713"/>
      <c r="Z299" s="713"/>
      <c r="AA299" s="713"/>
      <c r="AB299" s="713"/>
      <c r="AC299" s="713"/>
      <c r="AD299" s="713"/>
      <c r="AE299" s="712" t="s">
        <v>4</v>
      </c>
      <c r="AF299" s="712"/>
      <c r="AG299" s="712"/>
      <c r="AH299" s="712"/>
      <c r="AI299" s="711" t="s">
        <v>6</v>
      </c>
      <c r="AJ299" s="711"/>
      <c r="AK299" s="713"/>
      <c r="AL299" s="713"/>
      <c r="AM299" s="713"/>
      <c r="AN299" s="713"/>
      <c r="AO299" s="713"/>
      <c r="AP299" s="713"/>
      <c r="AU299" s="102"/>
      <c r="AV299" s="102"/>
    </row>
    <row r="300" spans="1:48" s="96" customFormat="1" ht="19.5" customHeight="1" x14ac:dyDescent="0.4">
      <c r="B300" s="644" t="str">
        <f ca="1">DBCS(INDIRECT("U12対戦スケジュール!s"&amp;(ROW())/2-AR$292))</f>
        <v>①</v>
      </c>
      <c r="C300" s="645">
        <f ca="1">INDIRECT("U12対戦スケジュール!t"&amp;(ROW())/2-AR$292)</f>
        <v>0.375</v>
      </c>
      <c r="D300" s="646"/>
      <c r="E300" s="647"/>
      <c r="F300" s="583"/>
      <c r="G300" s="583"/>
      <c r="H300" s="583"/>
      <c r="I300" s="583"/>
      <c r="J300" s="746" t="str">
        <f ca="1">VLOOKUP(AR300,U12組合せ!B$10:K$19,9,TRUE)</f>
        <v>FCブロケード</v>
      </c>
      <c r="K300" s="747"/>
      <c r="L300" s="747"/>
      <c r="M300" s="747"/>
      <c r="N300" s="747"/>
      <c r="O300" s="747"/>
      <c r="P300" s="747"/>
      <c r="Q300" s="628" t="str">
        <f>IF(OR(S300="",S301=""),"",S300+S301)</f>
        <v/>
      </c>
      <c r="R300" s="630"/>
      <c r="S300" s="100"/>
      <c r="T300" s="101" t="s">
        <v>7</v>
      </c>
      <c r="U300" s="100"/>
      <c r="V300" s="628" t="str">
        <f>IF(OR(U300="",U301=""),"",U300+U301)</f>
        <v/>
      </c>
      <c r="W300" s="630"/>
      <c r="X300" s="746" t="str">
        <f ca="1">VLOOKUP(AS300,U12組合せ!B$10:K$19,9,TRUE)</f>
        <v>SUGAOプロミネンス</v>
      </c>
      <c r="Y300" s="747"/>
      <c r="Z300" s="747"/>
      <c r="AA300" s="747"/>
      <c r="AB300" s="747"/>
      <c r="AC300" s="747"/>
      <c r="AD300" s="747"/>
      <c r="AE300" s="583"/>
      <c r="AF300" s="583"/>
      <c r="AG300" s="583"/>
      <c r="AH300" s="583"/>
      <c r="AI300" s="758" t="str">
        <f ca="1">DBCS(INDIRECT("U12対戦スケジュール!X"&amp;(ROW())/2-AR$292))</f>
        <v>８／１／６／８</v>
      </c>
      <c r="AJ300" s="759"/>
      <c r="AK300" s="759"/>
      <c r="AL300" s="759"/>
      <c r="AM300" s="759"/>
      <c r="AN300" s="759"/>
      <c r="AO300" s="759"/>
      <c r="AP300" s="760"/>
      <c r="AR300" s="119">
        <f ca="1">INDIRECT("U12対戦スケジュール!U"&amp;(ROW())/2-AR$292)</f>
        <v>1</v>
      </c>
      <c r="AS300" s="119">
        <f ca="1">INDIRECT("U12対戦スケジュール!W"&amp;(ROW())/2-AR$292)</f>
        <v>6</v>
      </c>
      <c r="AU300" s="102"/>
      <c r="AV300" s="102"/>
    </row>
    <row r="301" spans="1:48" s="96" customFormat="1" ht="19.5" customHeight="1" x14ac:dyDescent="0.4">
      <c r="B301" s="644"/>
      <c r="C301" s="648"/>
      <c r="D301" s="649"/>
      <c r="E301" s="650"/>
      <c r="F301" s="583"/>
      <c r="G301" s="583"/>
      <c r="H301" s="583"/>
      <c r="I301" s="583"/>
      <c r="J301" s="747"/>
      <c r="K301" s="747"/>
      <c r="L301" s="747"/>
      <c r="M301" s="747"/>
      <c r="N301" s="747"/>
      <c r="O301" s="747"/>
      <c r="P301" s="747"/>
      <c r="Q301" s="631"/>
      <c r="R301" s="633"/>
      <c r="S301" s="100"/>
      <c r="T301" s="101" t="s">
        <v>7</v>
      </c>
      <c r="U301" s="100"/>
      <c r="V301" s="631"/>
      <c r="W301" s="633"/>
      <c r="X301" s="747"/>
      <c r="Y301" s="747"/>
      <c r="Z301" s="747"/>
      <c r="AA301" s="747"/>
      <c r="AB301" s="747"/>
      <c r="AC301" s="747"/>
      <c r="AD301" s="747"/>
      <c r="AE301" s="583"/>
      <c r="AF301" s="583"/>
      <c r="AG301" s="583"/>
      <c r="AH301" s="583"/>
      <c r="AI301" s="761"/>
      <c r="AJ301" s="762"/>
      <c r="AK301" s="762"/>
      <c r="AL301" s="762"/>
      <c r="AM301" s="762"/>
      <c r="AN301" s="762"/>
      <c r="AO301" s="762"/>
      <c r="AP301" s="763"/>
      <c r="AR301" s="119"/>
      <c r="AS301" s="119"/>
      <c r="AU301" s="102"/>
      <c r="AV301" s="102"/>
    </row>
    <row r="302" spans="1:48" s="96" customFormat="1" ht="19.5" customHeight="1" x14ac:dyDescent="0.4">
      <c r="B302" s="644" t="str">
        <f t="shared" ref="B302" ca="1" si="14">DBCS(INDIRECT("U12対戦スケジュール!s"&amp;(ROW())/2-AR$292))</f>
        <v>②</v>
      </c>
      <c r="C302" s="645">
        <f t="shared" ref="C302" ca="1" si="15">INDIRECT("U12対戦スケジュール!t"&amp;(ROW())/2-AR$292)</f>
        <v>0.41699999999999998</v>
      </c>
      <c r="D302" s="646"/>
      <c r="E302" s="647"/>
      <c r="F302" s="583"/>
      <c r="G302" s="583"/>
      <c r="H302" s="583"/>
      <c r="I302" s="583"/>
      <c r="J302" s="746" t="str">
        <f ca="1">VLOOKUP(AR302,U12組合せ!B$10:K$19,9,TRUE)</f>
        <v>陽東SSS</v>
      </c>
      <c r="K302" s="747"/>
      <c r="L302" s="747"/>
      <c r="M302" s="747"/>
      <c r="N302" s="747"/>
      <c r="O302" s="747"/>
      <c r="P302" s="747"/>
      <c r="Q302" s="634" t="str">
        <f>IF(OR(S302="",S303=""),"",S302+S303)</f>
        <v/>
      </c>
      <c r="R302" s="634"/>
      <c r="S302" s="100"/>
      <c r="T302" s="101" t="s">
        <v>7</v>
      </c>
      <c r="U302" s="100"/>
      <c r="V302" s="634" t="str">
        <f>IF(OR(U302="",U303=""),"",U302+U303)</f>
        <v/>
      </c>
      <c r="W302" s="634"/>
      <c r="X302" s="746" t="str">
        <f ca="1">VLOOKUP(AS302,U12組合せ!B$10:K$19,9,TRUE)</f>
        <v>SUGAOプロミネンス</v>
      </c>
      <c r="Y302" s="747"/>
      <c r="Z302" s="747"/>
      <c r="AA302" s="747"/>
      <c r="AB302" s="747"/>
      <c r="AC302" s="747"/>
      <c r="AD302" s="747"/>
      <c r="AE302" s="583"/>
      <c r="AF302" s="583"/>
      <c r="AG302" s="583"/>
      <c r="AH302" s="583"/>
      <c r="AI302" s="758" t="str">
        <f ca="1">DBCS(INDIRECT("U12対戦スケジュール!X"&amp;(ROW())/2-AR$292))</f>
        <v>１／６／８／１</v>
      </c>
      <c r="AJ302" s="759"/>
      <c r="AK302" s="759"/>
      <c r="AL302" s="759"/>
      <c r="AM302" s="759"/>
      <c r="AN302" s="759"/>
      <c r="AO302" s="759"/>
      <c r="AP302" s="760"/>
      <c r="AR302" s="119">
        <f ca="1">INDIRECT("U12対戦スケジュール!U"&amp;(ROW())/2-AR$292)</f>
        <v>8</v>
      </c>
      <c r="AS302" s="119">
        <f ca="1">INDIRECT("U12対戦スケジュール!W"&amp;(ROW())/2-AR$292)</f>
        <v>6</v>
      </c>
      <c r="AU302" s="102"/>
      <c r="AV302" s="102"/>
    </row>
    <row r="303" spans="1:48" s="96" customFormat="1" ht="19.5" customHeight="1" x14ac:dyDescent="0.4">
      <c r="B303" s="644"/>
      <c r="C303" s="648"/>
      <c r="D303" s="649"/>
      <c r="E303" s="650"/>
      <c r="F303" s="583"/>
      <c r="G303" s="583"/>
      <c r="H303" s="583"/>
      <c r="I303" s="583"/>
      <c r="J303" s="747"/>
      <c r="K303" s="747"/>
      <c r="L303" s="747"/>
      <c r="M303" s="747"/>
      <c r="N303" s="747"/>
      <c r="O303" s="747"/>
      <c r="P303" s="747"/>
      <c r="Q303" s="634"/>
      <c r="R303" s="634"/>
      <c r="S303" s="100"/>
      <c r="T303" s="101" t="s">
        <v>7</v>
      </c>
      <c r="U303" s="100"/>
      <c r="V303" s="634"/>
      <c r="W303" s="634"/>
      <c r="X303" s="747"/>
      <c r="Y303" s="747"/>
      <c r="Z303" s="747"/>
      <c r="AA303" s="747"/>
      <c r="AB303" s="747"/>
      <c r="AC303" s="747"/>
      <c r="AD303" s="747"/>
      <c r="AE303" s="583"/>
      <c r="AF303" s="583"/>
      <c r="AG303" s="583"/>
      <c r="AH303" s="583"/>
      <c r="AI303" s="761"/>
      <c r="AJ303" s="762"/>
      <c r="AK303" s="762"/>
      <c r="AL303" s="762"/>
      <c r="AM303" s="762"/>
      <c r="AN303" s="762"/>
      <c r="AO303" s="762"/>
      <c r="AP303" s="763"/>
      <c r="AR303" s="119"/>
      <c r="AS303" s="119"/>
      <c r="AU303" s="102"/>
      <c r="AV303" s="102"/>
    </row>
    <row r="304" spans="1:48" s="96" customFormat="1" ht="19.5" customHeight="1" x14ac:dyDescent="0.4">
      <c r="B304" s="644" t="str">
        <f t="shared" ref="B304" ca="1" si="16">DBCS(INDIRECT("U12対戦スケジュール!s"&amp;(ROW())/2-AR$292))</f>
        <v>③</v>
      </c>
      <c r="C304" s="645">
        <f t="shared" ref="C304" ca="1" si="17">INDIRECT("U12対戦スケジュール!t"&amp;(ROW())/2-AR$292)</f>
        <v>0.45899999999999996</v>
      </c>
      <c r="D304" s="646"/>
      <c r="E304" s="647"/>
      <c r="F304" s="583"/>
      <c r="G304" s="583"/>
      <c r="H304" s="583"/>
      <c r="I304" s="583"/>
      <c r="J304" s="746" t="str">
        <f ca="1">VLOOKUP(AR304,U12組合せ!B$10:K$19,9,TRUE)</f>
        <v>陽東SSS</v>
      </c>
      <c r="K304" s="747"/>
      <c r="L304" s="747"/>
      <c r="M304" s="747"/>
      <c r="N304" s="747"/>
      <c r="O304" s="747"/>
      <c r="P304" s="747"/>
      <c r="Q304" s="634" t="str">
        <f>IF(OR(S304="",S305=""),"",S304+S305)</f>
        <v/>
      </c>
      <c r="R304" s="634"/>
      <c r="S304" s="100"/>
      <c r="T304" s="101" t="s">
        <v>7</v>
      </c>
      <c r="U304" s="100"/>
      <c r="V304" s="634" t="str">
        <f>IF(OR(U304="",U305=""),"",U304+U305)</f>
        <v/>
      </c>
      <c r="W304" s="634"/>
      <c r="X304" s="746" t="str">
        <f ca="1">VLOOKUP(AS304,U12組合せ!B$10:K$19,9,TRUE)</f>
        <v>FCブロケード</v>
      </c>
      <c r="Y304" s="747"/>
      <c r="Z304" s="747"/>
      <c r="AA304" s="747"/>
      <c r="AB304" s="747"/>
      <c r="AC304" s="747"/>
      <c r="AD304" s="747"/>
      <c r="AE304" s="583"/>
      <c r="AF304" s="583"/>
      <c r="AG304" s="583"/>
      <c r="AH304" s="583"/>
      <c r="AI304" s="758" t="str">
        <f ca="1">DBCS(INDIRECT("U12対戦スケジュール!X"&amp;(ROW())/2-AR$292))</f>
        <v>６／８／１／６</v>
      </c>
      <c r="AJ304" s="759"/>
      <c r="AK304" s="759"/>
      <c r="AL304" s="759"/>
      <c r="AM304" s="759"/>
      <c r="AN304" s="759"/>
      <c r="AO304" s="759"/>
      <c r="AP304" s="760"/>
      <c r="AR304" s="119">
        <f ca="1">INDIRECT("U12対戦スケジュール!U"&amp;(ROW())/2-AR$292)</f>
        <v>8</v>
      </c>
      <c r="AS304" s="119">
        <f ca="1">INDIRECT("U12対戦スケジュール!W"&amp;(ROW())/2-AR$292)</f>
        <v>1</v>
      </c>
      <c r="AU304" s="102"/>
      <c r="AV304" s="102"/>
    </row>
    <row r="305" spans="1:48" s="96" customFormat="1" ht="19.5" customHeight="1" x14ac:dyDescent="0.4">
      <c r="B305" s="644"/>
      <c r="C305" s="648"/>
      <c r="D305" s="649"/>
      <c r="E305" s="650"/>
      <c r="F305" s="583"/>
      <c r="G305" s="583"/>
      <c r="H305" s="583"/>
      <c r="I305" s="583"/>
      <c r="J305" s="747"/>
      <c r="K305" s="747"/>
      <c r="L305" s="747"/>
      <c r="M305" s="747"/>
      <c r="N305" s="747"/>
      <c r="O305" s="747"/>
      <c r="P305" s="747"/>
      <c r="Q305" s="634"/>
      <c r="R305" s="634"/>
      <c r="S305" s="100"/>
      <c r="T305" s="101" t="s">
        <v>7</v>
      </c>
      <c r="U305" s="100"/>
      <c r="V305" s="634"/>
      <c r="W305" s="634"/>
      <c r="X305" s="747"/>
      <c r="Y305" s="747"/>
      <c r="Z305" s="747"/>
      <c r="AA305" s="747"/>
      <c r="AB305" s="747"/>
      <c r="AC305" s="747"/>
      <c r="AD305" s="747"/>
      <c r="AE305" s="583"/>
      <c r="AF305" s="583"/>
      <c r="AG305" s="583"/>
      <c r="AH305" s="583"/>
      <c r="AI305" s="761"/>
      <c r="AJ305" s="762"/>
      <c r="AK305" s="762"/>
      <c r="AL305" s="762"/>
      <c r="AM305" s="762"/>
      <c r="AN305" s="762"/>
      <c r="AO305" s="762"/>
      <c r="AP305" s="763"/>
      <c r="AR305" s="119"/>
      <c r="AS305" s="119"/>
      <c r="AU305" s="102"/>
      <c r="AV305" s="102"/>
    </row>
    <row r="306" spans="1:48" s="96" customFormat="1" ht="19.5" customHeight="1" x14ac:dyDescent="0.4">
      <c r="B306" s="586"/>
      <c r="C306" s="739"/>
      <c r="D306" s="740"/>
      <c r="E306" s="741"/>
      <c r="F306" s="704"/>
      <c r="G306" s="704"/>
      <c r="H306" s="704"/>
      <c r="I306" s="704"/>
      <c r="J306" s="701"/>
      <c r="K306" s="702"/>
      <c r="L306" s="702"/>
      <c r="M306" s="702"/>
      <c r="N306" s="702"/>
      <c r="O306" s="702"/>
      <c r="P306" s="702"/>
      <c r="Q306" s="705"/>
      <c r="R306" s="705"/>
      <c r="S306" s="109"/>
      <c r="T306" s="110"/>
      <c r="U306" s="109"/>
      <c r="V306" s="705"/>
      <c r="W306" s="705"/>
      <c r="X306" s="701"/>
      <c r="Y306" s="702"/>
      <c r="Z306" s="702"/>
      <c r="AA306" s="702"/>
      <c r="AB306" s="702"/>
      <c r="AC306" s="702"/>
      <c r="AD306" s="702"/>
      <c r="AE306" s="704"/>
      <c r="AF306" s="704"/>
      <c r="AG306" s="704"/>
      <c r="AH306" s="704"/>
      <c r="AI306" s="706"/>
      <c r="AJ306" s="707"/>
      <c r="AK306" s="707"/>
      <c r="AL306" s="707"/>
      <c r="AM306" s="707"/>
      <c r="AN306" s="707"/>
      <c r="AO306" s="707"/>
      <c r="AP306" s="707"/>
      <c r="AR306" s="119"/>
      <c r="AS306" s="119"/>
      <c r="AU306" s="102"/>
      <c r="AV306" s="102"/>
    </row>
    <row r="307" spans="1:48" s="96" customFormat="1" ht="19.5" customHeight="1" x14ac:dyDescent="0.4">
      <c r="B307" s="644"/>
      <c r="C307" s="648"/>
      <c r="D307" s="649"/>
      <c r="E307" s="650"/>
      <c r="F307" s="583"/>
      <c r="G307" s="583"/>
      <c r="H307" s="583"/>
      <c r="I307" s="583"/>
      <c r="J307" s="703"/>
      <c r="K307" s="703"/>
      <c r="L307" s="703"/>
      <c r="M307" s="703"/>
      <c r="N307" s="703"/>
      <c r="O307" s="703"/>
      <c r="P307" s="703"/>
      <c r="Q307" s="634"/>
      <c r="R307" s="634"/>
      <c r="S307" s="100"/>
      <c r="T307" s="101"/>
      <c r="U307" s="100"/>
      <c r="V307" s="634"/>
      <c r="W307" s="634"/>
      <c r="X307" s="703"/>
      <c r="Y307" s="703"/>
      <c r="Z307" s="703"/>
      <c r="AA307" s="703"/>
      <c r="AB307" s="703"/>
      <c r="AC307" s="703"/>
      <c r="AD307" s="703"/>
      <c r="AE307" s="583"/>
      <c r="AF307" s="583"/>
      <c r="AG307" s="583"/>
      <c r="AH307" s="583"/>
      <c r="AI307" s="708"/>
      <c r="AJ307" s="708"/>
      <c r="AK307" s="708"/>
      <c r="AL307" s="708"/>
      <c r="AM307" s="708"/>
      <c r="AN307" s="708"/>
      <c r="AO307" s="708"/>
      <c r="AP307" s="708"/>
      <c r="AR307" s="119"/>
      <c r="AS307" s="119"/>
      <c r="AU307" s="102"/>
      <c r="AV307" s="102"/>
    </row>
    <row r="308" spans="1:48" s="96" customFormat="1" ht="19.5" customHeight="1" x14ac:dyDescent="0.4">
      <c r="B308" s="585"/>
      <c r="C308" s="587"/>
      <c r="D308" s="588"/>
      <c r="E308" s="589"/>
      <c r="F308" s="622"/>
      <c r="G308" s="623"/>
      <c r="H308" s="623"/>
      <c r="I308" s="624"/>
      <c r="J308" s="689"/>
      <c r="K308" s="690"/>
      <c r="L308" s="690"/>
      <c r="M308" s="690"/>
      <c r="N308" s="690"/>
      <c r="O308" s="690"/>
      <c r="P308" s="691"/>
      <c r="Q308" s="628"/>
      <c r="R308" s="630"/>
      <c r="S308" s="100"/>
      <c r="T308" s="101"/>
      <c r="U308" s="100"/>
      <c r="V308" s="628"/>
      <c r="W308" s="630"/>
      <c r="X308" s="695"/>
      <c r="Y308" s="696"/>
      <c r="Z308" s="696"/>
      <c r="AA308" s="696"/>
      <c r="AB308" s="696"/>
      <c r="AC308" s="696"/>
      <c r="AD308" s="697"/>
      <c r="AE308" s="622"/>
      <c r="AF308" s="623"/>
      <c r="AG308" s="623"/>
      <c r="AH308" s="624"/>
      <c r="AI308" s="628"/>
      <c r="AJ308" s="629"/>
      <c r="AK308" s="629"/>
      <c r="AL308" s="629"/>
      <c r="AM308" s="629"/>
      <c r="AN308" s="629"/>
      <c r="AO308" s="629"/>
      <c r="AP308" s="630"/>
      <c r="AU308" s="102"/>
      <c r="AV308" s="102"/>
    </row>
    <row r="309" spans="1:48" s="96" customFormat="1" ht="19.5" customHeight="1" x14ac:dyDescent="0.4">
      <c r="B309" s="586"/>
      <c r="C309" s="590"/>
      <c r="D309" s="591"/>
      <c r="E309" s="592"/>
      <c r="F309" s="625"/>
      <c r="G309" s="626"/>
      <c r="H309" s="626"/>
      <c r="I309" s="627"/>
      <c r="J309" s="692"/>
      <c r="K309" s="693"/>
      <c r="L309" s="693"/>
      <c r="M309" s="693"/>
      <c r="N309" s="693"/>
      <c r="O309" s="693"/>
      <c r="P309" s="694"/>
      <c r="Q309" s="631"/>
      <c r="R309" s="633"/>
      <c r="S309" s="100"/>
      <c r="T309" s="101"/>
      <c r="U309" s="100"/>
      <c r="V309" s="631"/>
      <c r="W309" s="633"/>
      <c r="X309" s="698"/>
      <c r="Y309" s="699"/>
      <c r="Z309" s="699"/>
      <c r="AA309" s="699"/>
      <c r="AB309" s="699"/>
      <c r="AC309" s="699"/>
      <c r="AD309" s="700"/>
      <c r="AE309" s="625"/>
      <c r="AF309" s="626"/>
      <c r="AG309" s="626"/>
      <c r="AH309" s="627"/>
      <c r="AI309" s="631"/>
      <c r="AJ309" s="632"/>
      <c r="AK309" s="632"/>
      <c r="AL309" s="632"/>
      <c r="AM309" s="632"/>
      <c r="AN309" s="632"/>
      <c r="AO309" s="632"/>
      <c r="AP309" s="633"/>
      <c r="AU309" s="102"/>
      <c r="AV309" s="102"/>
    </row>
    <row r="310" spans="1:48" s="96" customFormat="1" ht="19.5" customHeight="1" x14ac:dyDescent="0.4">
      <c r="B310" s="585"/>
      <c r="C310" s="587"/>
      <c r="D310" s="588"/>
      <c r="E310" s="589"/>
      <c r="F310" s="622"/>
      <c r="G310" s="623"/>
      <c r="H310" s="623"/>
      <c r="I310" s="624"/>
      <c r="J310" s="689"/>
      <c r="K310" s="690"/>
      <c r="L310" s="690"/>
      <c r="M310" s="690"/>
      <c r="N310" s="690"/>
      <c r="O310" s="690"/>
      <c r="P310" s="691"/>
      <c r="Q310" s="628"/>
      <c r="R310" s="630"/>
      <c r="S310" s="100"/>
      <c r="T310" s="101"/>
      <c r="U310" s="100"/>
      <c r="V310" s="628"/>
      <c r="W310" s="630"/>
      <c r="X310" s="695"/>
      <c r="Y310" s="696"/>
      <c r="Z310" s="696"/>
      <c r="AA310" s="696"/>
      <c r="AB310" s="696"/>
      <c r="AC310" s="696"/>
      <c r="AD310" s="697"/>
      <c r="AE310" s="622"/>
      <c r="AF310" s="623"/>
      <c r="AG310" s="623"/>
      <c r="AH310" s="624"/>
      <c r="AI310" s="628"/>
      <c r="AJ310" s="629"/>
      <c r="AK310" s="629"/>
      <c r="AL310" s="629"/>
      <c r="AM310" s="629"/>
      <c r="AN310" s="629"/>
      <c r="AO310" s="629"/>
      <c r="AP310" s="630"/>
      <c r="AU310" s="102"/>
      <c r="AV310" s="102"/>
    </row>
    <row r="311" spans="1:48" s="96" customFormat="1" ht="19.5" customHeight="1" x14ac:dyDescent="0.4">
      <c r="B311" s="586"/>
      <c r="C311" s="590"/>
      <c r="D311" s="591"/>
      <c r="E311" s="592"/>
      <c r="F311" s="625"/>
      <c r="G311" s="626"/>
      <c r="H311" s="626"/>
      <c r="I311" s="627"/>
      <c r="J311" s="692"/>
      <c r="K311" s="693"/>
      <c r="L311" s="693"/>
      <c r="M311" s="693"/>
      <c r="N311" s="693"/>
      <c r="O311" s="693"/>
      <c r="P311" s="694"/>
      <c r="Q311" s="631"/>
      <c r="R311" s="633"/>
      <c r="S311" s="100"/>
      <c r="T311" s="101"/>
      <c r="U311" s="100"/>
      <c r="V311" s="631"/>
      <c r="W311" s="633"/>
      <c r="X311" s="698"/>
      <c r="Y311" s="699"/>
      <c r="Z311" s="699"/>
      <c r="AA311" s="699"/>
      <c r="AB311" s="699"/>
      <c r="AC311" s="699"/>
      <c r="AD311" s="700"/>
      <c r="AE311" s="625"/>
      <c r="AF311" s="626"/>
      <c r="AG311" s="626"/>
      <c r="AH311" s="627"/>
      <c r="AI311" s="631"/>
      <c r="AJ311" s="632"/>
      <c r="AK311" s="632"/>
      <c r="AL311" s="632"/>
      <c r="AM311" s="632"/>
      <c r="AN311" s="632"/>
      <c r="AO311" s="632"/>
      <c r="AP311" s="633"/>
      <c r="AU311" s="102"/>
      <c r="AV311" s="102"/>
    </row>
    <row r="312" spans="1:48" s="96" customFormat="1" ht="16.5" x14ac:dyDescent="0.4">
      <c r="B312" s="585"/>
      <c r="C312" s="587"/>
      <c r="D312" s="588"/>
      <c r="E312" s="589"/>
      <c r="F312" s="622"/>
      <c r="G312" s="623"/>
      <c r="H312" s="623"/>
      <c r="I312" s="624"/>
      <c r="J312" s="689"/>
      <c r="K312" s="690"/>
      <c r="L312" s="690"/>
      <c r="M312" s="690"/>
      <c r="N312" s="690"/>
      <c r="O312" s="690"/>
      <c r="P312" s="691"/>
      <c r="Q312" s="628"/>
      <c r="R312" s="630"/>
      <c r="S312" s="100"/>
      <c r="T312" s="101"/>
      <c r="U312" s="100"/>
      <c r="V312" s="628"/>
      <c r="W312" s="630"/>
      <c r="X312" s="695"/>
      <c r="Y312" s="696"/>
      <c r="Z312" s="696"/>
      <c r="AA312" s="696"/>
      <c r="AB312" s="696"/>
      <c r="AC312" s="696"/>
      <c r="AD312" s="697"/>
      <c r="AE312" s="622"/>
      <c r="AF312" s="623"/>
      <c r="AG312" s="623"/>
      <c r="AH312" s="624"/>
      <c r="AI312" s="628"/>
      <c r="AJ312" s="629"/>
      <c r="AK312" s="629"/>
      <c r="AL312" s="629"/>
      <c r="AM312" s="629"/>
      <c r="AN312" s="629"/>
      <c r="AO312" s="629"/>
      <c r="AP312" s="630"/>
      <c r="AU312" s="102"/>
      <c r="AV312" s="102"/>
    </row>
    <row r="313" spans="1:48" s="96" customFormat="1" ht="16.5" x14ac:dyDescent="0.4">
      <c r="B313" s="586"/>
      <c r="C313" s="590"/>
      <c r="D313" s="591"/>
      <c r="E313" s="592"/>
      <c r="F313" s="625"/>
      <c r="G313" s="626"/>
      <c r="H313" s="626"/>
      <c r="I313" s="627"/>
      <c r="J313" s="692"/>
      <c r="K313" s="693"/>
      <c r="L313" s="693"/>
      <c r="M313" s="693"/>
      <c r="N313" s="693"/>
      <c r="O313" s="693"/>
      <c r="P313" s="694"/>
      <c r="Q313" s="631"/>
      <c r="R313" s="633"/>
      <c r="S313" s="100"/>
      <c r="T313" s="101"/>
      <c r="U313" s="100"/>
      <c r="V313" s="631"/>
      <c r="W313" s="633"/>
      <c r="X313" s="698"/>
      <c r="Y313" s="699"/>
      <c r="Z313" s="699"/>
      <c r="AA313" s="699"/>
      <c r="AB313" s="699"/>
      <c r="AC313" s="699"/>
      <c r="AD313" s="700"/>
      <c r="AE313" s="625"/>
      <c r="AF313" s="626"/>
      <c r="AG313" s="626"/>
      <c r="AH313" s="627"/>
      <c r="AI313" s="631"/>
      <c r="AJ313" s="632"/>
      <c r="AK313" s="632"/>
      <c r="AL313" s="632"/>
      <c r="AM313" s="632"/>
      <c r="AN313" s="632"/>
      <c r="AO313" s="632"/>
      <c r="AP313" s="633"/>
      <c r="AU313" s="102"/>
      <c r="AV313" s="102"/>
    </row>
    <row r="314" spans="1:48" s="96" customFormat="1" ht="20.25" thickBot="1" x14ac:dyDescent="0.45">
      <c r="A314" s="102"/>
      <c r="B314" s="103"/>
      <c r="C314" s="104"/>
      <c r="D314" s="104"/>
      <c r="E314" s="104"/>
      <c r="F314" s="103"/>
      <c r="G314" s="103"/>
      <c r="H314" s="103"/>
      <c r="I314" s="103"/>
      <c r="J314" s="103"/>
      <c r="K314" s="105"/>
      <c r="L314" s="105"/>
      <c r="M314" s="106"/>
      <c r="N314" s="107"/>
      <c r="O314" s="106"/>
      <c r="P314" s="105"/>
      <c r="Q314" s="105"/>
      <c r="R314" s="103"/>
      <c r="S314" s="103"/>
      <c r="T314" s="103"/>
      <c r="U314" s="103"/>
      <c r="V314" s="103"/>
      <c r="W314" s="108"/>
      <c r="X314" s="108"/>
      <c r="Y314" s="108"/>
      <c r="Z314" s="108"/>
      <c r="AA314" s="108"/>
      <c r="AB314" s="108"/>
      <c r="AC314" s="102"/>
      <c r="AU314" s="102"/>
      <c r="AV314" s="102"/>
    </row>
    <row r="315" spans="1:48" s="96" customFormat="1" ht="20.25" thickBot="1" x14ac:dyDescent="0.45">
      <c r="D315" s="664" t="s">
        <v>8</v>
      </c>
      <c r="E315" s="665"/>
      <c r="F315" s="665"/>
      <c r="G315" s="665"/>
      <c r="H315" s="665"/>
      <c r="I315" s="666"/>
      <c r="J315" s="667" t="s">
        <v>5</v>
      </c>
      <c r="K315" s="665"/>
      <c r="L315" s="665"/>
      <c r="M315" s="665"/>
      <c r="N315" s="665"/>
      <c r="O315" s="665"/>
      <c r="P315" s="665"/>
      <c r="Q315" s="666"/>
      <c r="R315" s="668" t="s">
        <v>9</v>
      </c>
      <c r="S315" s="669"/>
      <c r="T315" s="669"/>
      <c r="U315" s="669"/>
      <c r="V315" s="669"/>
      <c r="W315" s="669"/>
      <c r="X315" s="669"/>
      <c r="Y315" s="669"/>
      <c r="Z315" s="670"/>
      <c r="AA315" s="609" t="s">
        <v>10</v>
      </c>
      <c r="AB315" s="610"/>
      <c r="AC315" s="671"/>
      <c r="AD315" s="609" t="s">
        <v>11</v>
      </c>
      <c r="AE315" s="610"/>
      <c r="AF315" s="610"/>
      <c r="AG315" s="610"/>
      <c r="AH315" s="610"/>
      <c r="AI315" s="610"/>
      <c r="AJ315" s="610"/>
      <c r="AK315" s="610"/>
      <c r="AL315" s="610"/>
      <c r="AM315" s="611"/>
      <c r="AU315" s="102"/>
      <c r="AV315" s="102"/>
    </row>
    <row r="316" spans="1:48" s="96" customFormat="1" ht="26.25" customHeight="1" x14ac:dyDescent="0.4">
      <c r="D316" s="651" t="s">
        <v>298</v>
      </c>
      <c r="E316" s="652"/>
      <c r="F316" s="652"/>
      <c r="G316" s="652"/>
      <c r="H316" s="652"/>
      <c r="I316" s="653"/>
      <c r="J316" s="654"/>
      <c r="K316" s="652"/>
      <c r="L316" s="652"/>
      <c r="M316" s="652"/>
      <c r="N316" s="652"/>
      <c r="O316" s="652"/>
      <c r="P316" s="652"/>
      <c r="Q316" s="653"/>
      <c r="R316" s="655"/>
      <c r="S316" s="656"/>
      <c r="T316" s="656"/>
      <c r="U316" s="656"/>
      <c r="V316" s="656"/>
      <c r="W316" s="656"/>
      <c r="X316" s="656"/>
      <c r="Y316" s="656"/>
      <c r="Z316" s="657"/>
      <c r="AA316" s="658"/>
      <c r="AB316" s="659"/>
      <c r="AC316" s="660"/>
      <c r="AD316" s="661"/>
      <c r="AE316" s="662"/>
      <c r="AF316" s="662"/>
      <c r="AG316" s="662"/>
      <c r="AH316" s="662"/>
      <c r="AI316" s="662"/>
      <c r="AJ316" s="662"/>
      <c r="AK316" s="662"/>
      <c r="AL316" s="662"/>
      <c r="AM316" s="663"/>
      <c r="AU316" s="102"/>
      <c r="AV316" s="102"/>
    </row>
    <row r="317" spans="1:48" s="96" customFormat="1" ht="26.25" customHeight="1" x14ac:dyDescent="0.4">
      <c r="D317" s="688" t="s">
        <v>12</v>
      </c>
      <c r="E317" s="604"/>
      <c r="F317" s="604"/>
      <c r="G317" s="604"/>
      <c r="H317" s="604"/>
      <c r="I317" s="605"/>
      <c r="J317" s="603"/>
      <c r="K317" s="604"/>
      <c r="L317" s="604"/>
      <c r="M317" s="604"/>
      <c r="N317" s="604"/>
      <c r="O317" s="604"/>
      <c r="P317" s="604"/>
      <c r="Q317" s="605"/>
      <c r="R317" s="606"/>
      <c r="S317" s="607"/>
      <c r="T317" s="607"/>
      <c r="U317" s="607"/>
      <c r="V317" s="607"/>
      <c r="W317" s="607"/>
      <c r="X317" s="607"/>
      <c r="Y317" s="607"/>
      <c r="Z317" s="608"/>
      <c r="AA317" s="606"/>
      <c r="AB317" s="607"/>
      <c r="AC317" s="608"/>
      <c r="AD317" s="672"/>
      <c r="AE317" s="673"/>
      <c r="AF317" s="673"/>
      <c r="AG317" s="673"/>
      <c r="AH317" s="673"/>
      <c r="AI317" s="673"/>
      <c r="AJ317" s="673"/>
      <c r="AK317" s="673"/>
      <c r="AL317" s="673"/>
      <c r="AM317" s="674"/>
      <c r="AU317" s="102"/>
      <c r="AV317" s="102"/>
    </row>
    <row r="318" spans="1:48" s="96" customFormat="1" ht="26.25" customHeight="1" thickBot="1" x14ac:dyDescent="0.45">
      <c r="D318" s="675" t="s">
        <v>12</v>
      </c>
      <c r="E318" s="676"/>
      <c r="F318" s="676"/>
      <c r="G318" s="676"/>
      <c r="H318" s="676"/>
      <c r="I318" s="677"/>
      <c r="J318" s="678"/>
      <c r="K318" s="676"/>
      <c r="L318" s="676"/>
      <c r="M318" s="676"/>
      <c r="N318" s="676"/>
      <c r="O318" s="676"/>
      <c r="P318" s="676"/>
      <c r="Q318" s="677"/>
      <c r="R318" s="679"/>
      <c r="S318" s="680"/>
      <c r="T318" s="680"/>
      <c r="U318" s="680"/>
      <c r="V318" s="680"/>
      <c r="W318" s="680"/>
      <c r="X318" s="680"/>
      <c r="Y318" s="680"/>
      <c r="Z318" s="681"/>
      <c r="AA318" s="682"/>
      <c r="AB318" s="683"/>
      <c r="AC318" s="684"/>
      <c r="AD318" s="685"/>
      <c r="AE318" s="686"/>
      <c r="AF318" s="686"/>
      <c r="AG318" s="686"/>
      <c r="AH318" s="686"/>
      <c r="AI318" s="686"/>
      <c r="AJ318" s="686"/>
      <c r="AK318" s="686"/>
      <c r="AL318" s="686"/>
      <c r="AM318" s="687"/>
      <c r="AU318" s="102"/>
      <c r="AV318" s="102"/>
    </row>
    <row r="319" spans="1:48" s="96" customFormat="1" ht="15" customHeight="1" x14ac:dyDescent="0.4">
      <c r="AU319" s="102"/>
      <c r="AV319" s="102"/>
    </row>
    <row r="320" spans="1:48" s="96" customFormat="1" ht="27.75" customHeight="1" x14ac:dyDescent="0.4">
      <c r="A320" s="115"/>
      <c r="B320" s="599" t="str">
        <f>U12組合せ!$B$1</f>
        <v>ＪＦＡ　Ｕ-１２サッカーリーグ2021（in栃木） 宇都宮地区リーグ戦（前期）</v>
      </c>
      <c r="C320" s="599"/>
      <c r="D320" s="599"/>
      <c r="E320" s="599"/>
      <c r="F320" s="599"/>
      <c r="G320" s="599"/>
      <c r="H320" s="599"/>
      <c r="I320" s="599"/>
      <c r="J320" s="599"/>
      <c r="K320" s="599"/>
      <c r="L320" s="599"/>
      <c r="M320" s="599"/>
      <c r="N320" s="599"/>
      <c r="O320" s="599"/>
      <c r="P320" s="599"/>
      <c r="Q320" s="599"/>
      <c r="R320" s="599"/>
      <c r="S320" s="599"/>
      <c r="T320" s="599"/>
      <c r="U320" s="599"/>
      <c r="V320" s="599"/>
      <c r="W320" s="599"/>
      <c r="X320" s="599"/>
      <c r="Y320" s="599"/>
      <c r="Z320" s="599"/>
      <c r="AA320" s="599"/>
      <c r="AB320" s="599"/>
      <c r="AC320" s="612" t="str">
        <f>"【"&amp;(U12組合せ!$J$3)&amp;"】"</f>
        <v>【Ｄ ブロック】</v>
      </c>
      <c r="AD320" s="612"/>
      <c r="AE320" s="612"/>
      <c r="AF320" s="612"/>
      <c r="AG320" s="612"/>
      <c r="AH320" s="612"/>
      <c r="AI320" s="612"/>
      <c r="AJ320" s="612"/>
      <c r="AK320" s="602" t="str">
        <f>"第"&amp;(U12組合せ!$D$39)</f>
        <v>第４節</v>
      </c>
      <c r="AL320" s="602"/>
      <c r="AM320" s="602"/>
      <c r="AN320" s="602"/>
      <c r="AO320" s="602"/>
      <c r="AP320" s="597" t="s">
        <v>332</v>
      </c>
      <c r="AQ320" s="598"/>
      <c r="AU320" s="102"/>
      <c r="AV320" s="102"/>
    </row>
    <row r="321" spans="1:48" s="96" customFormat="1" ht="15" customHeight="1" x14ac:dyDescent="0.4">
      <c r="A321" s="115"/>
      <c r="B321" s="599"/>
      <c r="C321" s="599"/>
      <c r="D321" s="599"/>
      <c r="E321" s="599"/>
      <c r="F321" s="599"/>
      <c r="G321" s="599"/>
      <c r="H321" s="599"/>
      <c r="I321" s="599"/>
      <c r="J321" s="599"/>
      <c r="K321" s="599"/>
      <c r="L321" s="599"/>
      <c r="M321" s="599"/>
      <c r="N321" s="599"/>
      <c r="O321" s="599"/>
      <c r="P321" s="599"/>
      <c r="Q321" s="599"/>
      <c r="R321" s="599"/>
      <c r="S321" s="599"/>
      <c r="T321" s="599"/>
      <c r="U321" s="599"/>
      <c r="V321" s="599"/>
      <c r="W321" s="599"/>
      <c r="X321" s="599"/>
      <c r="Y321" s="599"/>
      <c r="Z321" s="599"/>
      <c r="AA321" s="599"/>
      <c r="AB321" s="599"/>
      <c r="AC321" s="601"/>
      <c r="AD321" s="601"/>
      <c r="AE321" s="601"/>
      <c r="AF321" s="601"/>
      <c r="AG321" s="601"/>
      <c r="AH321" s="601"/>
      <c r="AI321" s="601"/>
      <c r="AJ321" s="601"/>
      <c r="AK321" s="601"/>
      <c r="AL321" s="601"/>
      <c r="AM321" s="601"/>
      <c r="AN321" s="601"/>
      <c r="AO321" s="612"/>
      <c r="AP321" s="598"/>
      <c r="AQ321" s="598"/>
      <c r="AU321" s="102"/>
      <c r="AV321" s="102"/>
    </row>
    <row r="322" spans="1:48" s="96" customFormat="1" ht="29.25" customHeight="1" x14ac:dyDescent="0.4">
      <c r="C322" s="635" t="s">
        <v>1</v>
      </c>
      <c r="D322" s="635"/>
      <c r="E322" s="635"/>
      <c r="F322" s="635"/>
      <c r="G322" s="725" t="str">
        <f>U12対戦スケジュール!U87</f>
        <v>平出南　PM</v>
      </c>
      <c r="H322" s="726"/>
      <c r="I322" s="726"/>
      <c r="J322" s="726"/>
      <c r="K322" s="726"/>
      <c r="L322" s="726"/>
      <c r="M322" s="726"/>
      <c r="N322" s="726"/>
      <c r="O322" s="727"/>
      <c r="P322" s="635" t="s">
        <v>0</v>
      </c>
      <c r="Q322" s="635"/>
      <c r="R322" s="635"/>
      <c r="S322" s="635"/>
      <c r="T322" s="725" t="str">
        <f>E325</f>
        <v>FCみらいV</v>
      </c>
      <c r="U322" s="726"/>
      <c r="V322" s="726"/>
      <c r="W322" s="726"/>
      <c r="X322" s="726"/>
      <c r="Y322" s="726"/>
      <c r="Z322" s="726"/>
      <c r="AA322" s="726"/>
      <c r="AB322" s="727"/>
      <c r="AC322" s="635" t="s">
        <v>2</v>
      </c>
      <c r="AD322" s="635"/>
      <c r="AE322" s="635"/>
      <c r="AF322" s="635"/>
      <c r="AG322" s="618">
        <f>U12組合せ!B$39</f>
        <v>44353</v>
      </c>
      <c r="AH322" s="619"/>
      <c r="AI322" s="619"/>
      <c r="AJ322" s="619"/>
      <c r="AK322" s="619"/>
      <c r="AL322" s="619"/>
      <c r="AM322" s="620" t="str">
        <f>"（"&amp;TEXT(AG322,"aaa")&amp;"）"</f>
        <v>（日）</v>
      </c>
      <c r="AN322" s="620"/>
      <c r="AO322" s="621"/>
      <c r="AP322" s="116"/>
      <c r="AR322" s="96">
        <f>332/2</f>
        <v>166</v>
      </c>
      <c r="AU322" s="102"/>
      <c r="AV322" s="102"/>
    </row>
    <row r="323" spans="1:48" s="96" customFormat="1" ht="17.25" customHeight="1" x14ac:dyDescent="0.4">
      <c r="C323" s="96" t="str">
        <f>U12組合せ!K42</f>
        <v>D249</v>
      </c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95"/>
      <c r="X323" s="95"/>
      <c r="Y323" s="95"/>
      <c r="Z323" s="95"/>
      <c r="AA323" s="95"/>
      <c r="AB323" s="95"/>
      <c r="AC323" s="95"/>
      <c r="AR323" s="96">
        <v>89</v>
      </c>
      <c r="AU323" s="102"/>
      <c r="AV323" s="102"/>
    </row>
    <row r="324" spans="1:48" s="96" customFormat="1" ht="30.75" customHeight="1" x14ac:dyDescent="0.4">
      <c r="C324" s="637" t="s">
        <v>518</v>
      </c>
      <c r="D324" s="637"/>
      <c r="E324" s="584" t="s">
        <v>536</v>
      </c>
      <c r="F324" s="584"/>
      <c r="G324" s="584"/>
      <c r="H324" s="584"/>
      <c r="I324" s="584"/>
      <c r="J324" s="584"/>
      <c r="K324" s="584"/>
      <c r="L324" s="584"/>
      <c r="M324" s="584"/>
      <c r="N324" s="584"/>
      <c r="O324" s="94"/>
      <c r="P324" s="94"/>
      <c r="Q324" s="637" t="s">
        <v>519</v>
      </c>
      <c r="R324" s="637"/>
      <c r="S324" s="584" t="s">
        <v>537</v>
      </c>
      <c r="T324" s="584"/>
      <c r="U324" s="584"/>
      <c r="V324" s="584"/>
      <c r="W324" s="584"/>
      <c r="X324" s="584"/>
      <c r="Y324" s="584"/>
      <c r="Z324" s="584"/>
      <c r="AA324" s="584"/>
      <c r="AB324" s="584"/>
      <c r="AC324" s="92"/>
      <c r="AD324" s="93"/>
      <c r="AE324" s="636" t="s">
        <v>517</v>
      </c>
      <c r="AF324" s="636"/>
      <c r="AG324" s="709" t="s">
        <v>538</v>
      </c>
      <c r="AH324" s="709"/>
      <c r="AI324" s="709"/>
      <c r="AJ324" s="709"/>
      <c r="AK324" s="709"/>
      <c r="AL324" s="709"/>
      <c r="AM324" s="709"/>
      <c r="AN324" s="709"/>
      <c r="AO324" s="709"/>
      <c r="AP324" s="709"/>
      <c r="AR324" s="96">
        <f>AR322-AR323</f>
        <v>77</v>
      </c>
      <c r="AU324" s="102"/>
      <c r="AV324" s="102"/>
    </row>
    <row r="325" spans="1:48" s="96" customFormat="1" ht="30.75" customHeight="1" x14ac:dyDescent="0.4">
      <c r="C325" s="636" t="s">
        <v>514</v>
      </c>
      <c r="D325" s="636"/>
      <c r="E325" s="709" t="s">
        <v>539</v>
      </c>
      <c r="F325" s="709"/>
      <c r="G325" s="709"/>
      <c r="H325" s="709"/>
      <c r="I325" s="709"/>
      <c r="J325" s="709"/>
      <c r="K325" s="709"/>
      <c r="L325" s="709"/>
      <c r="M325" s="709"/>
      <c r="N325" s="709"/>
      <c r="O325" s="94"/>
      <c r="P325" s="94"/>
      <c r="Q325" s="637" t="s">
        <v>546</v>
      </c>
      <c r="R325" s="637"/>
      <c r="S325" s="584" t="s">
        <v>540</v>
      </c>
      <c r="T325" s="584"/>
      <c r="U325" s="584"/>
      <c r="V325" s="584"/>
      <c r="W325" s="584"/>
      <c r="X325" s="584"/>
      <c r="Y325" s="584"/>
      <c r="Z325" s="584"/>
      <c r="AA325" s="584"/>
      <c r="AB325" s="584"/>
      <c r="AC325" s="92"/>
      <c r="AD325" s="93"/>
      <c r="AE325" s="710" t="s">
        <v>510</v>
      </c>
      <c r="AF325" s="710"/>
      <c r="AG325" s="638" t="s">
        <v>524</v>
      </c>
      <c r="AH325" s="638"/>
      <c r="AI325" s="638"/>
      <c r="AJ325" s="638"/>
      <c r="AK325" s="638"/>
      <c r="AL325" s="638"/>
      <c r="AM325" s="638"/>
      <c r="AN325" s="638"/>
      <c r="AO325" s="638"/>
      <c r="AP325" s="638"/>
      <c r="AU325" s="102"/>
      <c r="AV325" s="102"/>
    </row>
    <row r="326" spans="1:48" s="96" customFormat="1" ht="30.75" customHeight="1" x14ac:dyDescent="0.4">
      <c r="C326" s="637" t="s">
        <v>550</v>
      </c>
      <c r="D326" s="637"/>
      <c r="E326" s="584" t="s">
        <v>541</v>
      </c>
      <c r="F326" s="584"/>
      <c r="G326" s="584"/>
      <c r="H326" s="584"/>
      <c r="I326" s="584"/>
      <c r="J326" s="584"/>
      <c r="K326" s="584"/>
      <c r="L326" s="584"/>
      <c r="M326" s="584"/>
      <c r="N326" s="584"/>
      <c r="O326" s="94"/>
      <c r="P326" s="94"/>
      <c r="Q326" s="637" t="s">
        <v>547</v>
      </c>
      <c r="R326" s="637"/>
      <c r="S326" s="584" t="s">
        <v>542</v>
      </c>
      <c r="T326" s="584"/>
      <c r="U326" s="584"/>
      <c r="V326" s="584"/>
      <c r="W326" s="584"/>
      <c r="X326" s="584"/>
      <c r="Y326" s="584"/>
      <c r="Z326" s="584"/>
      <c r="AA326" s="584"/>
      <c r="AB326" s="584"/>
      <c r="AC326" s="92"/>
      <c r="AD326" s="93"/>
      <c r="AE326" s="710" t="s">
        <v>468</v>
      </c>
      <c r="AF326" s="710"/>
      <c r="AG326" s="638" t="s">
        <v>503</v>
      </c>
      <c r="AH326" s="638"/>
      <c r="AI326" s="638"/>
      <c r="AJ326" s="638"/>
      <c r="AK326" s="638"/>
      <c r="AL326" s="638"/>
      <c r="AM326" s="638"/>
      <c r="AN326" s="638"/>
      <c r="AO326" s="638"/>
      <c r="AP326" s="638"/>
      <c r="AU326" s="102"/>
      <c r="AV326" s="102"/>
    </row>
    <row r="327" spans="1:48" s="96" customFormat="1" ht="33" customHeight="1" x14ac:dyDescent="0.4">
      <c r="C327" s="636" t="s">
        <v>516</v>
      </c>
      <c r="D327" s="636"/>
      <c r="E327" s="709" t="s">
        <v>543</v>
      </c>
      <c r="F327" s="709"/>
      <c r="G327" s="709"/>
      <c r="H327" s="709"/>
      <c r="I327" s="709"/>
      <c r="J327" s="709"/>
      <c r="K327" s="709"/>
      <c r="L327" s="709"/>
      <c r="M327" s="709"/>
      <c r="N327" s="709"/>
      <c r="O327" s="94"/>
      <c r="P327" s="94"/>
      <c r="Q327" s="637" t="s">
        <v>548</v>
      </c>
      <c r="R327" s="637"/>
      <c r="S327" s="584" t="s">
        <v>544</v>
      </c>
      <c r="T327" s="584"/>
      <c r="U327" s="584"/>
      <c r="V327" s="584"/>
      <c r="W327" s="584"/>
      <c r="X327" s="584"/>
      <c r="Y327" s="584"/>
      <c r="Z327" s="584"/>
      <c r="AA327" s="584"/>
      <c r="AB327" s="584"/>
      <c r="AC327" s="92"/>
      <c r="AD327" s="93"/>
      <c r="AE327" s="710" t="s">
        <v>549</v>
      </c>
      <c r="AF327" s="710"/>
      <c r="AG327" s="638" t="s">
        <v>528</v>
      </c>
      <c r="AH327" s="638"/>
      <c r="AI327" s="638"/>
      <c r="AJ327" s="638"/>
      <c r="AK327" s="638"/>
      <c r="AL327" s="638"/>
      <c r="AM327" s="638"/>
      <c r="AN327" s="638"/>
      <c r="AO327" s="638"/>
      <c r="AP327" s="638"/>
      <c r="AU327" s="102"/>
      <c r="AV327" s="102"/>
    </row>
    <row r="328" spans="1:48" s="96" customFormat="1" ht="12" customHeight="1" x14ac:dyDescent="0.4">
      <c r="B328" s="102"/>
      <c r="O328" s="102"/>
      <c r="P328" s="102"/>
      <c r="AC328" s="95"/>
      <c r="AD328" s="102"/>
      <c r="AE328" s="102"/>
      <c r="AF328" s="102"/>
      <c r="AG328" s="102"/>
      <c r="AU328" s="102"/>
      <c r="AV328" s="102"/>
    </row>
    <row r="329" spans="1:48" s="96" customFormat="1" ht="12" customHeight="1" x14ac:dyDescent="0.4">
      <c r="C329" s="117"/>
      <c r="D329" s="118"/>
      <c r="E329" s="118"/>
      <c r="F329" s="118"/>
      <c r="G329" s="118"/>
      <c r="H329" s="118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18"/>
      <c r="U329" s="102"/>
      <c r="V329" s="118"/>
      <c r="W329" s="102"/>
      <c r="X329" s="118"/>
      <c r="Y329" s="102"/>
      <c r="Z329" s="118"/>
      <c r="AA329" s="102"/>
      <c r="AB329" s="118"/>
      <c r="AC329" s="118"/>
      <c r="AU329" s="102"/>
      <c r="AV329" s="102"/>
    </row>
    <row r="330" spans="1:48" s="96" customFormat="1" ht="21.75" customHeight="1" x14ac:dyDescent="0.4">
      <c r="B330" s="118" t="str">
        <f ca="1">IF(B332="①","【監督会議 8：20～】","【監督会議 12：50～】")</f>
        <v>【監督会議 12：50～】</v>
      </c>
      <c r="I330" s="96" t="s">
        <v>330</v>
      </c>
      <c r="AU330" s="102"/>
      <c r="AV330" s="102"/>
    </row>
    <row r="331" spans="1:48" s="96" customFormat="1" ht="19.5" customHeight="1" x14ac:dyDescent="0.4">
      <c r="B331" s="97"/>
      <c r="C331" s="711" t="s">
        <v>3</v>
      </c>
      <c r="D331" s="711"/>
      <c r="E331" s="711"/>
      <c r="F331" s="712" t="s">
        <v>4</v>
      </c>
      <c r="G331" s="712"/>
      <c r="H331" s="712"/>
      <c r="I331" s="712"/>
      <c r="J331" s="711" t="s">
        <v>5</v>
      </c>
      <c r="K331" s="713"/>
      <c r="L331" s="713"/>
      <c r="M331" s="713"/>
      <c r="N331" s="713"/>
      <c r="O331" s="713"/>
      <c r="P331" s="713"/>
      <c r="Q331" s="711" t="s">
        <v>32</v>
      </c>
      <c r="R331" s="711"/>
      <c r="S331" s="711"/>
      <c r="T331" s="711"/>
      <c r="U331" s="711"/>
      <c r="V331" s="711"/>
      <c r="W331" s="711"/>
      <c r="X331" s="711" t="s">
        <v>5</v>
      </c>
      <c r="Y331" s="713"/>
      <c r="Z331" s="713"/>
      <c r="AA331" s="713"/>
      <c r="AB331" s="713"/>
      <c r="AC331" s="713"/>
      <c r="AD331" s="713"/>
      <c r="AE331" s="712" t="s">
        <v>4</v>
      </c>
      <c r="AF331" s="712"/>
      <c r="AG331" s="712"/>
      <c r="AH331" s="712"/>
      <c r="AI331" s="711" t="s">
        <v>6</v>
      </c>
      <c r="AJ331" s="711"/>
      <c r="AK331" s="713"/>
      <c r="AL331" s="713"/>
      <c r="AM331" s="713"/>
      <c r="AN331" s="713"/>
      <c r="AO331" s="713"/>
      <c r="AP331" s="713"/>
      <c r="AU331" s="102"/>
      <c r="AV331" s="102"/>
    </row>
    <row r="332" spans="1:48" s="96" customFormat="1" ht="19.5" customHeight="1" x14ac:dyDescent="0.4">
      <c r="B332" s="644" t="str">
        <f ca="1">DBCS(INDIRECT("U12対戦スケジュール!s"&amp;(ROW())/2-AR$324))</f>
        <v>④</v>
      </c>
      <c r="C332" s="645">
        <f ca="1">INDIRECT("U12対戦スケジュール!t"&amp;(ROW())/2-AR$324)</f>
        <v>0.5625</v>
      </c>
      <c r="D332" s="646"/>
      <c r="E332" s="647"/>
      <c r="F332" s="583"/>
      <c r="G332" s="583"/>
      <c r="H332" s="583"/>
      <c r="I332" s="583"/>
      <c r="J332" s="746" t="str">
        <f ca="1">VLOOKUP(AR332,U12組合せ!B$10:K$19,9,TRUE)</f>
        <v>FCみらいV</v>
      </c>
      <c r="K332" s="747"/>
      <c r="L332" s="747"/>
      <c r="M332" s="747"/>
      <c r="N332" s="747"/>
      <c r="O332" s="747"/>
      <c r="P332" s="747"/>
      <c r="Q332" s="628" t="str">
        <f>IF(OR(S332="",S333=""),"",S332+S333)</f>
        <v/>
      </c>
      <c r="R332" s="630"/>
      <c r="S332" s="100"/>
      <c r="T332" s="101" t="s">
        <v>7</v>
      </c>
      <c r="U332" s="100"/>
      <c r="V332" s="628" t="str">
        <f>IF(OR(U332="",U333=""),"",U332+U333)</f>
        <v/>
      </c>
      <c r="W332" s="630"/>
      <c r="X332" s="746" t="str">
        <f ca="1">VLOOKUP(AS332,U12組合せ!B$10:K$19,9,TRUE)</f>
        <v>清原フューチャーズ</v>
      </c>
      <c r="Y332" s="747"/>
      <c r="Z332" s="747"/>
      <c r="AA332" s="747"/>
      <c r="AB332" s="747"/>
      <c r="AC332" s="747"/>
      <c r="AD332" s="747"/>
      <c r="AE332" s="583"/>
      <c r="AF332" s="583"/>
      <c r="AG332" s="583"/>
      <c r="AH332" s="583"/>
      <c r="AI332" s="758" t="str">
        <f ca="1">DBCS(INDIRECT("U12対戦スケジュール!X"&amp;(ROW())/2-AR$324))</f>
        <v>Ｄ９／Ｃ１／Ｃ４／Ｄ９</v>
      </c>
      <c r="AJ332" s="759"/>
      <c r="AK332" s="759"/>
      <c r="AL332" s="759"/>
      <c r="AM332" s="759"/>
      <c r="AN332" s="759"/>
      <c r="AO332" s="759"/>
      <c r="AP332" s="760"/>
      <c r="AR332" s="119">
        <f ca="1">INDIRECT("U12対戦スケジュール!U"&amp;(ROW())/2-AR$324)</f>
        <v>2</v>
      </c>
      <c r="AS332" s="119">
        <f ca="1">INDIRECT("U12対戦スケジュール!W"&amp;(ROW())/2-AR$324)</f>
        <v>4</v>
      </c>
      <c r="AU332" s="102"/>
      <c r="AV332" s="102"/>
    </row>
    <row r="333" spans="1:48" s="96" customFormat="1" ht="19.5" customHeight="1" x14ac:dyDescent="0.4">
      <c r="B333" s="644"/>
      <c r="C333" s="648"/>
      <c r="D333" s="649"/>
      <c r="E333" s="650"/>
      <c r="F333" s="583"/>
      <c r="G333" s="583"/>
      <c r="H333" s="583"/>
      <c r="I333" s="583"/>
      <c r="J333" s="747"/>
      <c r="K333" s="747"/>
      <c r="L333" s="747"/>
      <c r="M333" s="747"/>
      <c r="N333" s="747"/>
      <c r="O333" s="747"/>
      <c r="P333" s="747"/>
      <c r="Q333" s="631"/>
      <c r="R333" s="633"/>
      <c r="S333" s="100"/>
      <c r="T333" s="101" t="s">
        <v>7</v>
      </c>
      <c r="U333" s="100"/>
      <c r="V333" s="631"/>
      <c r="W333" s="633"/>
      <c r="X333" s="747"/>
      <c r="Y333" s="747"/>
      <c r="Z333" s="747"/>
      <c r="AA333" s="747"/>
      <c r="AB333" s="747"/>
      <c r="AC333" s="747"/>
      <c r="AD333" s="747"/>
      <c r="AE333" s="583"/>
      <c r="AF333" s="583"/>
      <c r="AG333" s="583"/>
      <c r="AH333" s="583"/>
      <c r="AI333" s="761"/>
      <c r="AJ333" s="762"/>
      <c r="AK333" s="762"/>
      <c r="AL333" s="762"/>
      <c r="AM333" s="762"/>
      <c r="AN333" s="762"/>
      <c r="AO333" s="762"/>
      <c r="AP333" s="763"/>
      <c r="AR333" s="119"/>
      <c r="AS333" s="119"/>
      <c r="AU333" s="102"/>
      <c r="AV333" s="102"/>
    </row>
    <row r="334" spans="1:48" s="96" customFormat="1" ht="19.5" customHeight="1" x14ac:dyDescent="0.4">
      <c r="B334" s="644" t="str">
        <f t="shared" ref="B334" ca="1" si="18">DBCS(INDIRECT("U12対戦スケジュール!s"&amp;(ROW())/2-AR$324))</f>
        <v>⑤</v>
      </c>
      <c r="C334" s="645">
        <f t="shared" ref="C334" ca="1" si="19">INDIRECT("U12対戦スケジュール!t"&amp;(ROW())/2-AR$324)</f>
        <v>0.60450000000000004</v>
      </c>
      <c r="D334" s="646"/>
      <c r="E334" s="647"/>
      <c r="F334" s="583"/>
      <c r="G334" s="583"/>
      <c r="H334" s="583"/>
      <c r="I334" s="583"/>
      <c r="J334" s="746" t="str">
        <f ca="1">VLOOKUP(AR334,U12組合せ!B$10:K$19,9,TRUE)</f>
        <v>ジュベニール</v>
      </c>
      <c r="K334" s="747"/>
      <c r="L334" s="747"/>
      <c r="M334" s="747"/>
      <c r="N334" s="747"/>
      <c r="O334" s="747"/>
      <c r="P334" s="747"/>
      <c r="Q334" s="634" t="str">
        <f>IF(OR(S334="",S335=""),"",S334+S335)</f>
        <v/>
      </c>
      <c r="R334" s="634"/>
      <c r="S334" s="100"/>
      <c r="T334" s="101" t="s">
        <v>7</v>
      </c>
      <c r="U334" s="100"/>
      <c r="V334" s="634" t="str">
        <f>IF(OR(U334="",U335=""),"",U334+U335)</f>
        <v/>
      </c>
      <c r="W334" s="634"/>
      <c r="X334" s="746" t="str">
        <f ca="1">VLOOKUP(AS334,U12組合せ!B$10:K$19,9,TRUE)</f>
        <v>清原フューチャーズ</v>
      </c>
      <c r="Y334" s="747"/>
      <c r="Z334" s="747"/>
      <c r="AA334" s="747"/>
      <c r="AB334" s="747"/>
      <c r="AC334" s="747"/>
      <c r="AD334" s="747"/>
      <c r="AE334" s="583"/>
      <c r="AF334" s="583"/>
      <c r="AG334" s="583"/>
      <c r="AH334" s="583"/>
      <c r="AI334" s="758" t="str">
        <f ca="1">DBCS(INDIRECT("U12対戦スケジュール!X"&amp;(ROW())/2-AR$324))</f>
        <v>Ｄ２／Ｃ４／Ｃ７／Ｄ２</v>
      </c>
      <c r="AJ334" s="759"/>
      <c r="AK334" s="759"/>
      <c r="AL334" s="759"/>
      <c r="AM334" s="759"/>
      <c r="AN334" s="759"/>
      <c r="AO334" s="759"/>
      <c r="AP334" s="760"/>
      <c r="AR334" s="119">
        <f ca="1">INDIRECT("U12対戦スケジュール!U"&amp;(ROW())/2-AR$324)</f>
        <v>9</v>
      </c>
      <c r="AS334" s="119">
        <f ca="1">INDIRECT("U12対戦スケジュール!W"&amp;(ROW())/2-AR$324)</f>
        <v>4</v>
      </c>
      <c r="AU334" s="102"/>
      <c r="AV334" s="102"/>
    </row>
    <row r="335" spans="1:48" s="96" customFormat="1" ht="19.5" customHeight="1" x14ac:dyDescent="0.4">
      <c r="B335" s="644"/>
      <c r="C335" s="648"/>
      <c r="D335" s="649"/>
      <c r="E335" s="650"/>
      <c r="F335" s="583"/>
      <c r="G335" s="583"/>
      <c r="H335" s="583"/>
      <c r="I335" s="583"/>
      <c r="J335" s="747"/>
      <c r="K335" s="747"/>
      <c r="L335" s="747"/>
      <c r="M335" s="747"/>
      <c r="N335" s="747"/>
      <c r="O335" s="747"/>
      <c r="P335" s="747"/>
      <c r="Q335" s="634"/>
      <c r="R335" s="634"/>
      <c r="S335" s="100"/>
      <c r="T335" s="101" t="s">
        <v>7</v>
      </c>
      <c r="U335" s="100"/>
      <c r="V335" s="634"/>
      <c r="W335" s="634"/>
      <c r="X335" s="747"/>
      <c r="Y335" s="747"/>
      <c r="Z335" s="747"/>
      <c r="AA335" s="747"/>
      <c r="AB335" s="747"/>
      <c r="AC335" s="747"/>
      <c r="AD335" s="747"/>
      <c r="AE335" s="583"/>
      <c r="AF335" s="583"/>
      <c r="AG335" s="583"/>
      <c r="AH335" s="583"/>
      <c r="AI335" s="761"/>
      <c r="AJ335" s="762"/>
      <c r="AK335" s="762"/>
      <c r="AL335" s="762"/>
      <c r="AM335" s="762"/>
      <c r="AN335" s="762"/>
      <c r="AO335" s="762"/>
      <c r="AP335" s="763"/>
      <c r="AR335" s="119"/>
      <c r="AS335" s="119"/>
      <c r="AU335" s="102"/>
      <c r="AV335" s="102"/>
    </row>
    <row r="336" spans="1:48" s="96" customFormat="1" ht="19.5" customHeight="1" x14ac:dyDescent="0.4">
      <c r="B336" s="644" t="str">
        <f t="shared" ref="B336" ca="1" si="20">DBCS(INDIRECT("U12対戦スケジュール!s"&amp;(ROW())/2-AR$324))</f>
        <v>⑥</v>
      </c>
      <c r="C336" s="645">
        <f t="shared" ref="C336" ca="1" si="21">INDIRECT("U12対戦スケジュール!t"&amp;(ROW())/2-AR$324)</f>
        <v>0.64650000000000007</v>
      </c>
      <c r="D336" s="646"/>
      <c r="E336" s="647"/>
      <c r="F336" s="583"/>
      <c r="G336" s="583"/>
      <c r="H336" s="583"/>
      <c r="I336" s="583"/>
      <c r="J336" s="746" t="str">
        <f ca="1">VLOOKUP(AR336,U12組合せ!B$10:K$19,9,TRUE)</f>
        <v>ジュベニール</v>
      </c>
      <c r="K336" s="747"/>
      <c r="L336" s="747"/>
      <c r="M336" s="747"/>
      <c r="N336" s="747"/>
      <c r="O336" s="747"/>
      <c r="P336" s="747"/>
      <c r="Q336" s="634" t="str">
        <f>IF(OR(S336="",S337=""),"",S336+S337)</f>
        <v/>
      </c>
      <c r="R336" s="634"/>
      <c r="S336" s="100"/>
      <c r="T336" s="101" t="s">
        <v>7</v>
      </c>
      <c r="U336" s="100"/>
      <c r="V336" s="634" t="str">
        <f>IF(OR(U336="",U337=""),"",U336+U337)</f>
        <v/>
      </c>
      <c r="W336" s="634"/>
      <c r="X336" s="746" t="str">
        <f ca="1">VLOOKUP(AS336,U12組合せ!B$10:K$19,9,TRUE)</f>
        <v>FCみらいV</v>
      </c>
      <c r="Y336" s="747"/>
      <c r="Z336" s="747"/>
      <c r="AA336" s="747"/>
      <c r="AB336" s="747"/>
      <c r="AC336" s="747"/>
      <c r="AD336" s="747"/>
      <c r="AE336" s="583"/>
      <c r="AF336" s="583"/>
      <c r="AG336" s="583"/>
      <c r="AH336" s="583"/>
      <c r="AI336" s="758" t="str">
        <f ca="1">DBCS(INDIRECT("U12対戦スケジュール!X"&amp;(ROW())/2-AR$324))</f>
        <v>Ｄ４／Ｃ７／Ｃ１／Ｄ４</v>
      </c>
      <c r="AJ336" s="759"/>
      <c r="AK336" s="759"/>
      <c r="AL336" s="759"/>
      <c r="AM336" s="759"/>
      <c r="AN336" s="759"/>
      <c r="AO336" s="759"/>
      <c r="AP336" s="760"/>
      <c r="AR336" s="119">
        <f ca="1">INDIRECT("U12対戦スケジュール!U"&amp;(ROW())/2-AR$324)</f>
        <v>9</v>
      </c>
      <c r="AS336" s="119">
        <f ca="1">INDIRECT("U12対戦スケジュール!W"&amp;(ROW())/2-AR$324)</f>
        <v>2</v>
      </c>
      <c r="AU336" s="102"/>
      <c r="AV336" s="102"/>
    </row>
    <row r="337" spans="1:48" s="96" customFormat="1" ht="19.5" customHeight="1" x14ac:dyDescent="0.4">
      <c r="B337" s="644"/>
      <c r="C337" s="648"/>
      <c r="D337" s="649"/>
      <c r="E337" s="650"/>
      <c r="F337" s="583"/>
      <c r="G337" s="583"/>
      <c r="H337" s="583"/>
      <c r="I337" s="583"/>
      <c r="J337" s="747"/>
      <c r="K337" s="747"/>
      <c r="L337" s="747"/>
      <c r="M337" s="747"/>
      <c r="N337" s="747"/>
      <c r="O337" s="747"/>
      <c r="P337" s="747"/>
      <c r="Q337" s="634"/>
      <c r="R337" s="634"/>
      <c r="S337" s="100"/>
      <c r="T337" s="101" t="s">
        <v>7</v>
      </c>
      <c r="U337" s="100"/>
      <c r="V337" s="634"/>
      <c r="W337" s="634"/>
      <c r="X337" s="747"/>
      <c r="Y337" s="747"/>
      <c r="Z337" s="747"/>
      <c r="AA337" s="747"/>
      <c r="AB337" s="747"/>
      <c r="AC337" s="747"/>
      <c r="AD337" s="747"/>
      <c r="AE337" s="583"/>
      <c r="AF337" s="583"/>
      <c r="AG337" s="583"/>
      <c r="AH337" s="583"/>
      <c r="AI337" s="761"/>
      <c r="AJ337" s="762"/>
      <c r="AK337" s="762"/>
      <c r="AL337" s="762"/>
      <c r="AM337" s="762"/>
      <c r="AN337" s="762"/>
      <c r="AO337" s="762"/>
      <c r="AP337" s="763"/>
      <c r="AR337" s="119"/>
      <c r="AS337" s="119"/>
      <c r="AU337" s="102"/>
      <c r="AV337" s="102"/>
    </row>
    <row r="338" spans="1:48" s="96" customFormat="1" ht="19.5" customHeight="1" x14ac:dyDescent="0.4">
      <c r="B338" s="586"/>
      <c r="C338" s="739"/>
      <c r="D338" s="740"/>
      <c r="E338" s="741"/>
      <c r="F338" s="704"/>
      <c r="G338" s="704"/>
      <c r="H338" s="704"/>
      <c r="I338" s="704"/>
      <c r="J338" s="701"/>
      <c r="K338" s="702"/>
      <c r="L338" s="702"/>
      <c r="M338" s="702"/>
      <c r="N338" s="702"/>
      <c r="O338" s="702"/>
      <c r="P338" s="702"/>
      <c r="Q338" s="705"/>
      <c r="R338" s="705"/>
      <c r="S338" s="109"/>
      <c r="T338" s="110"/>
      <c r="U338" s="109"/>
      <c r="V338" s="705"/>
      <c r="W338" s="705"/>
      <c r="X338" s="701"/>
      <c r="Y338" s="702"/>
      <c r="Z338" s="702"/>
      <c r="AA338" s="702"/>
      <c r="AB338" s="702"/>
      <c r="AC338" s="702"/>
      <c r="AD338" s="702"/>
      <c r="AE338" s="704"/>
      <c r="AF338" s="704"/>
      <c r="AG338" s="704"/>
      <c r="AH338" s="704"/>
      <c r="AI338" s="706"/>
      <c r="AJ338" s="707"/>
      <c r="AK338" s="707"/>
      <c r="AL338" s="707"/>
      <c r="AM338" s="707"/>
      <c r="AN338" s="707"/>
      <c r="AO338" s="707"/>
      <c r="AP338" s="707"/>
      <c r="AR338" s="119"/>
      <c r="AS338" s="119"/>
      <c r="AU338" s="102"/>
      <c r="AV338" s="102"/>
    </row>
    <row r="339" spans="1:48" s="96" customFormat="1" ht="19.5" customHeight="1" x14ac:dyDescent="0.4">
      <c r="B339" s="644"/>
      <c r="C339" s="648"/>
      <c r="D339" s="649"/>
      <c r="E339" s="650"/>
      <c r="F339" s="583"/>
      <c r="G339" s="583"/>
      <c r="H339" s="583"/>
      <c r="I339" s="583"/>
      <c r="J339" s="703"/>
      <c r="K339" s="703"/>
      <c r="L339" s="703"/>
      <c r="M339" s="703"/>
      <c r="N339" s="703"/>
      <c r="O339" s="703"/>
      <c r="P339" s="703"/>
      <c r="Q339" s="634"/>
      <c r="R339" s="634"/>
      <c r="S339" s="100"/>
      <c r="T339" s="101"/>
      <c r="U339" s="100"/>
      <c r="V339" s="634"/>
      <c r="W339" s="634"/>
      <c r="X339" s="703"/>
      <c r="Y339" s="703"/>
      <c r="Z339" s="703"/>
      <c r="AA339" s="703"/>
      <c r="AB339" s="703"/>
      <c r="AC339" s="703"/>
      <c r="AD339" s="703"/>
      <c r="AE339" s="583"/>
      <c r="AF339" s="583"/>
      <c r="AG339" s="583"/>
      <c r="AH339" s="583"/>
      <c r="AI339" s="708"/>
      <c r="AJ339" s="708"/>
      <c r="AK339" s="708"/>
      <c r="AL339" s="708"/>
      <c r="AM339" s="708"/>
      <c r="AN339" s="708"/>
      <c r="AO339" s="708"/>
      <c r="AP339" s="708"/>
      <c r="AR339" s="119"/>
      <c r="AS339" s="119"/>
      <c r="AU339" s="102"/>
      <c r="AV339" s="102"/>
    </row>
    <row r="340" spans="1:48" s="96" customFormat="1" ht="19.5" customHeight="1" x14ac:dyDescent="0.4">
      <c r="B340" s="585"/>
      <c r="C340" s="587"/>
      <c r="D340" s="588"/>
      <c r="E340" s="589"/>
      <c r="F340" s="622"/>
      <c r="G340" s="623"/>
      <c r="H340" s="623"/>
      <c r="I340" s="624"/>
      <c r="J340" s="689"/>
      <c r="K340" s="690"/>
      <c r="L340" s="690"/>
      <c r="M340" s="690"/>
      <c r="N340" s="690"/>
      <c r="O340" s="690"/>
      <c r="P340" s="691"/>
      <c r="Q340" s="628"/>
      <c r="R340" s="630"/>
      <c r="S340" s="100"/>
      <c r="T340" s="101"/>
      <c r="U340" s="100"/>
      <c r="V340" s="628"/>
      <c r="W340" s="630"/>
      <c r="X340" s="695"/>
      <c r="Y340" s="696"/>
      <c r="Z340" s="696"/>
      <c r="AA340" s="696"/>
      <c r="AB340" s="696"/>
      <c r="AC340" s="696"/>
      <c r="AD340" s="697"/>
      <c r="AE340" s="622"/>
      <c r="AF340" s="623"/>
      <c r="AG340" s="623"/>
      <c r="AH340" s="624"/>
      <c r="AI340" s="628"/>
      <c r="AJ340" s="629"/>
      <c r="AK340" s="629"/>
      <c r="AL340" s="629"/>
      <c r="AM340" s="629"/>
      <c r="AN340" s="629"/>
      <c r="AO340" s="629"/>
      <c r="AP340" s="630"/>
      <c r="AU340" s="102"/>
      <c r="AV340" s="102"/>
    </row>
    <row r="341" spans="1:48" s="96" customFormat="1" ht="19.5" customHeight="1" x14ac:dyDescent="0.4">
      <c r="B341" s="586"/>
      <c r="C341" s="590"/>
      <c r="D341" s="591"/>
      <c r="E341" s="592"/>
      <c r="F341" s="625"/>
      <c r="G341" s="626"/>
      <c r="H341" s="626"/>
      <c r="I341" s="627"/>
      <c r="J341" s="692"/>
      <c r="K341" s="693"/>
      <c r="L341" s="693"/>
      <c r="M341" s="693"/>
      <c r="N341" s="693"/>
      <c r="O341" s="693"/>
      <c r="P341" s="694"/>
      <c r="Q341" s="631"/>
      <c r="R341" s="633"/>
      <c r="S341" s="100"/>
      <c r="T341" s="101"/>
      <c r="U341" s="100"/>
      <c r="V341" s="631"/>
      <c r="W341" s="633"/>
      <c r="X341" s="698"/>
      <c r="Y341" s="699"/>
      <c r="Z341" s="699"/>
      <c r="AA341" s="699"/>
      <c r="AB341" s="699"/>
      <c r="AC341" s="699"/>
      <c r="AD341" s="700"/>
      <c r="AE341" s="625"/>
      <c r="AF341" s="626"/>
      <c r="AG341" s="626"/>
      <c r="AH341" s="627"/>
      <c r="AI341" s="631"/>
      <c r="AJ341" s="632"/>
      <c r="AK341" s="632"/>
      <c r="AL341" s="632"/>
      <c r="AM341" s="632"/>
      <c r="AN341" s="632"/>
      <c r="AO341" s="632"/>
      <c r="AP341" s="633"/>
      <c r="AU341" s="102"/>
      <c r="AV341" s="102"/>
    </row>
    <row r="342" spans="1:48" s="96" customFormat="1" ht="19.5" customHeight="1" x14ac:dyDescent="0.4">
      <c r="B342" s="585"/>
      <c r="C342" s="587"/>
      <c r="D342" s="588"/>
      <c r="E342" s="589"/>
      <c r="F342" s="622"/>
      <c r="G342" s="623"/>
      <c r="H342" s="623"/>
      <c r="I342" s="624"/>
      <c r="J342" s="689"/>
      <c r="K342" s="690"/>
      <c r="L342" s="690"/>
      <c r="M342" s="690"/>
      <c r="N342" s="690"/>
      <c r="O342" s="690"/>
      <c r="P342" s="691"/>
      <c r="Q342" s="628"/>
      <c r="R342" s="630"/>
      <c r="S342" s="100"/>
      <c r="T342" s="101"/>
      <c r="U342" s="100"/>
      <c r="V342" s="628"/>
      <c r="W342" s="630"/>
      <c r="X342" s="695"/>
      <c r="Y342" s="696"/>
      <c r="Z342" s="696"/>
      <c r="AA342" s="696"/>
      <c r="AB342" s="696"/>
      <c r="AC342" s="696"/>
      <c r="AD342" s="697"/>
      <c r="AE342" s="622"/>
      <c r="AF342" s="623"/>
      <c r="AG342" s="623"/>
      <c r="AH342" s="624"/>
      <c r="AI342" s="628"/>
      <c r="AJ342" s="629"/>
      <c r="AK342" s="629"/>
      <c r="AL342" s="629"/>
      <c r="AM342" s="629"/>
      <c r="AN342" s="629"/>
      <c r="AO342" s="629"/>
      <c r="AP342" s="630"/>
      <c r="AU342" s="102"/>
      <c r="AV342" s="102"/>
    </row>
    <row r="343" spans="1:48" s="96" customFormat="1" ht="19.5" customHeight="1" x14ac:dyDescent="0.4">
      <c r="B343" s="586"/>
      <c r="C343" s="590"/>
      <c r="D343" s="591"/>
      <c r="E343" s="592"/>
      <c r="F343" s="625"/>
      <c r="G343" s="626"/>
      <c r="H343" s="626"/>
      <c r="I343" s="627"/>
      <c r="J343" s="692"/>
      <c r="K343" s="693"/>
      <c r="L343" s="693"/>
      <c r="M343" s="693"/>
      <c r="N343" s="693"/>
      <c r="O343" s="693"/>
      <c r="P343" s="694"/>
      <c r="Q343" s="631"/>
      <c r="R343" s="633"/>
      <c r="S343" s="100"/>
      <c r="T343" s="101"/>
      <c r="U343" s="100"/>
      <c r="V343" s="631"/>
      <c r="W343" s="633"/>
      <c r="X343" s="698"/>
      <c r="Y343" s="699"/>
      <c r="Z343" s="699"/>
      <c r="AA343" s="699"/>
      <c r="AB343" s="699"/>
      <c r="AC343" s="699"/>
      <c r="AD343" s="700"/>
      <c r="AE343" s="625"/>
      <c r="AF343" s="626"/>
      <c r="AG343" s="626"/>
      <c r="AH343" s="627"/>
      <c r="AI343" s="631"/>
      <c r="AJ343" s="632"/>
      <c r="AK343" s="632"/>
      <c r="AL343" s="632"/>
      <c r="AM343" s="632"/>
      <c r="AN343" s="632"/>
      <c r="AO343" s="632"/>
      <c r="AP343" s="633"/>
      <c r="AU343" s="102"/>
      <c r="AV343" s="102"/>
    </row>
    <row r="344" spans="1:48" s="96" customFormat="1" ht="16.5" x14ac:dyDescent="0.4">
      <c r="B344" s="585"/>
      <c r="C344" s="587"/>
      <c r="D344" s="588"/>
      <c r="E344" s="589"/>
      <c r="F344" s="622"/>
      <c r="G344" s="623"/>
      <c r="H344" s="623"/>
      <c r="I344" s="624"/>
      <c r="J344" s="689"/>
      <c r="K344" s="690"/>
      <c r="L344" s="690"/>
      <c r="M344" s="690"/>
      <c r="N344" s="690"/>
      <c r="O344" s="690"/>
      <c r="P344" s="691"/>
      <c r="Q344" s="628"/>
      <c r="R344" s="630"/>
      <c r="S344" s="100"/>
      <c r="T344" s="101"/>
      <c r="U344" s="100"/>
      <c r="V344" s="628"/>
      <c r="W344" s="630"/>
      <c r="X344" s="695"/>
      <c r="Y344" s="696"/>
      <c r="Z344" s="696"/>
      <c r="AA344" s="696"/>
      <c r="AB344" s="696"/>
      <c r="AC344" s="696"/>
      <c r="AD344" s="697"/>
      <c r="AE344" s="622"/>
      <c r="AF344" s="623"/>
      <c r="AG344" s="623"/>
      <c r="AH344" s="624"/>
      <c r="AI344" s="628"/>
      <c r="AJ344" s="629"/>
      <c r="AK344" s="629"/>
      <c r="AL344" s="629"/>
      <c r="AM344" s="629"/>
      <c r="AN344" s="629"/>
      <c r="AO344" s="629"/>
      <c r="AP344" s="630"/>
      <c r="AU344" s="102"/>
      <c r="AV344" s="102"/>
    </row>
    <row r="345" spans="1:48" s="96" customFormat="1" ht="16.5" x14ac:dyDescent="0.4">
      <c r="B345" s="586"/>
      <c r="C345" s="590"/>
      <c r="D345" s="591"/>
      <c r="E345" s="592"/>
      <c r="F345" s="625"/>
      <c r="G345" s="626"/>
      <c r="H345" s="626"/>
      <c r="I345" s="627"/>
      <c r="J345" s="692"/>
      <c r="K345" s="693"/>
      <c r="L345" s="693"/>
      <c r="M345" s="693"/>
      <c r="N345" s="693"/>
      <c r="O345" s="693"/>
      <c r="P345" s="694"/>
      <c r="Q345" s="631"/>
      <c r="R345" s="633"/>
      <c r="S345" s="100"/>
      <c r="T345" s="101"/>
      <c r="U345" s="100"/>
      <c r="V345" s="631"/>
      <c r="W345" s="633"/>
      <c r="X345" s="698"/>
      <c r="Y345" s="699"/>
      <c r="Z345" s="699"/>
      <c r="AA345" s="699"/>
      <c r="AB345" s="699"/>
      <c r="AC345" s="699"/>
      <c r="AD345" s="700"/>
      <c r="AE345" s="625"/>
      <c r="AF345" s="626"/>
      <c r="AG345" s="626"/>
      <c r="AH345" s="627"/>
      <c r="AI345" s="631"/>
      <c r="AJ345" s="632"/>
      <c r="AK345" s="632"/>
      <c r="AL345" s="632"/>
      <c r="AM345" s="632"/>
      <c r="AN345" s="632"/>
      <c r="AO345" s="632"/>
      <c r="AP345" s="633"/>
      <c r="AU345" s="102"/>
      <c r="AV345" s="102"/>
    </row>
    <row r="346" spans="1:48" s="96" customFormat="1" ht="20.25" thickBot="1" x14ac:dyDescent="0.45">
      <c r="A346" s="102"/>
      <c r="B346" s="103"/>
      <c r="C346" s="104"/>
      <c r="D346" s="104"/>
      <c r="E346" s="104"/>
      <c r="F346" s="103"/>
      <c r="G346" s="103"/>
      <c r="H346" s="103"/>
      <c r="I346" s="103"/>
      <c r="J346" s="103"/>
      <c r="K346" s="105"/>
      <c r="L346" s="105"/>
      <c r="M346" s="106"/>
      <c r="N346" s="107"/>
      <c r="O346" s="106"/>
      <c r="P346" s="105"/>
      <c r="Q346" s="105"/>
      <c r="R346" s="103"/>
      <c r="S346" s="103"/>
      <c r="T346" s="103"/>
      <c r="U346" s="103"/>
      <c r="V346" s="103"/>
      <c r="W346" s="108"/>
      <c r="X346" s="108"/>
      <c r="Y346" s="108"/>
      <c r="Z346" s="108"/>
      <c r="AA346" s="108"/>
      <c r="AB346" s="108"/>
      <c r="AC346" s="102"/>
      <c r="AU346" s="102"/>
      <c r="AV346" s="102"/>
    </row>
    <row r="347" spans="1:48" s="96" customFormat="1" ht="20.25" thickBot="1" x14ac:dyDescent="0.45">
      <c r="D347" s="664" t="s">
        <v>8</v>
      </c>
      <c r="E347" s="665"/>
      <c r="F347" s="665"/>
      <c r="G347" s="665"/>
      <c r="H347" s="665"/>
      <c r="I347" s="666"/>
      <c r="J347" s="667" t="s">
        <v>5</v>
      </c>
      <c r="K347" s="665"/>
      <c r="L347" s="665"/>
      <c r="M347" s="665"/>
      <c r="N347" s="665"/>
      <c r="O347" s="665"/>
      <c r="P347" s="665"/>
      <c r="Q347" s="666"/>
      <c r="R347" s="668" t="s">
        <v>9</v>
      </c>
      <c r="S347" s="669"/>
      <c r="T347" s="669"/>
      <c r="U347" s="669"/>
      <c r="V347" s="669"/>
      <c r="W347" s="669"/>
      <c r="X347" s="669"/>
      <c r="Y347" s="669"/>
      <c r="Z347" s="670"/>
      <c r="AA347" s="609" t="s">
        <v>10</v>
      </c>
      <c r="AB347" s="610"/>
      <c r="AC347" s="671"/>
      <c r="AD347" s="609" t="s">
        <v>11</v>
      </c>
      <c r="AE347" s="610"/>
      <c r="AF347" s="610"/>
      <c r="AG347" s="610"/>
      <c r="AH347" s="610"/>
      <c r="AI347" s="610"/>
      <c r="AJ347" s="610"/>
      <c r="AK347" s="610"/>
      <c r="AL347" s="610"/>
      <c r="AM347" s="611"/>
      <c r="AU347" s="102"/>
      <c r="AV347" s="102"/>
    </row>
    <row r="348" spans="1:48" s="96" customFormat="1" ht="28.5" customHeight="1" x14ac:dyDescent="0.4">
      <c r="D348" s="651" t="s">
        <v>298</v>
      </c>
      <c r="E348" s="652"/>
      <c r="F348" s="652"/>
      <c r="G348" s="652"/>
      <c r="H348" s="652"/>
      <c r="I348" s="653"/>
      <c r="J348" s="654"/>
      <c r="K348" s="652"/>
      <c r="L348" s="652"/>
      <c r="M348" s="652"/>
      <c r="N348" s="652"/>
      <c r="O348" s="652"/>
      <c r="P348" s="652"/>
      <c r="Q348" s="653"/>
      <c r="R348" s="655"/>
      <c r="S348" s="656"/>
      <c r="T348" s="656"/>
      <c r="U348" s="656"/>
      <c r="V348" s="656"/>
      <c r="W348" s="656"/>
      <c r="X348" s="656"/>
      <c r="Y348" s="656"/>
      <c r="Z348" s="657"/>
      <c r="AA348" s="658"/>
      <c r="AB348" s="659"/>
      <c r="AC348" s="660"/>
      <c r="AD348" s="661"/>
      <c r="AE348" s="662"/>
      <c r="AF348" s="662"/>
      <c r="AG348" s="662"/>
      <c r="AH348" s="662"/>
      <c r="AI348" s="662"/>
      <c r="AJ348" s="662"/>
      <c r="AK348" s="662"/>
      <c r="AL348" s="662"/>
      <c r="AM348" s="663"/>
      <c r="AU348" s="102"/>
      <c r="AV348" s="102"/>
    </row>
    <row r="349" spans="1:48" s="96" customFormat="1" ht="28.5" customHeight="1" x14ac:dyDescent="0.4">
      <c r="D349" s="688" t="s">
        <v>12</v>
      </c>
      <c r="E349" s="604"/>
      <c r="F349" s="604"/>
      <c r="G349" s="604"/>
      <c r="H349" s="604"/>
      <c r="I349" s="605"/>
      <c r="J349" s="603"/>
      <c r="K349" s="604"/>
      <c r="L349" s="604"/>
      <c r="M349" s="604"/>
      <c r="N349" s="604"/>
      <c r="O349" s="604"/>
      <c r="P349" s="604"/>
      <c r="Q349" s="605"/>
      <c r="R349" s="606"/>
      <c r="S349" s="607"/>
      <c r="T349" s="607"/>
      <c r="U349" s="607"/>
      <c r="V349" s="607"/>
      <c r="W349" s="607"/>
      <c r="X349" s="607"/>
      <c r="Y349" s="607"/>
      <c r="Z349" s="608"/>
      <c r="AA349" s="606"/>
      <c r="AB349" s="607"/>
      <c r="AC349" s="608"/>
      <c r="AD349" s="672"/>
      <c r="AE349" s="673"/>
      <c r="AF349" s="673"/>
      <c r="AG349" s="673"/>
      <c r="AH349" s="673"/>
      <c r="AI349" s="673"/>
      <c r="AJ349" s="673"/>
      <c r="AK349" s="673"/>
      <c r="AL349" s="673"/>
      <c r="AM349" s="674"/>
      <c r="AU349" s="102"/>
      <c r="AV349" s="102"/>
    </row>
    <row r="350" spans="1:48" s="96" customFormat="1" ht="28.5" customHeight="1" thickBot="1" x14ac:dyDescent="0.45">
      <c r="D350" s="675" t="s">
        <v>12</v>
      </c>
      <c r="E350" s="676"/>
      <c r="F350" s="676"/>
      <c r="G350" s="676"/>
      <c r="H350" s="676"/>
      <c r="I350" s="677"/>
      <c r="J350" s="678"/>
      <c r="K350" s="676"/>
      <c r="L350" s="676"/>
      <c r="M350" s="676"/>
      <c r="N350" s="676"/>
      <c r="O350" s="676"/>
      <c r="P350" s="676"/>
      <c r="Q350" s="677"/>
      <c r="R350" s="679"/>
      <c r="S350" s="680"/>
      <c r="T350" s="680"/>
      <c r="U350" s="680"/>
      <c r="V350" s="680"/>
      <c r="W350" s="680"/>
      <c r="X350" s="680"/>
      <c r="Y350" s="680"/>
      <c r="Z350" s="681"/>
      <c r="AA350" s="682"/>
      <c r="AB350" s="683"/>
      <c r="AC350" s="684"/>
      <c r="AD350" s="685"/>
      <c r="AE350" s="686"/>
      <c r="AF350" s="686"/>
      <c r="AG350" s="686"/>
      <c r="AH350" s="686"/>
      <c r="AI350" s="686"/>
      <c r="AJ350" s="686"/>
      <c r="AK350" s="686"/>
      <c r="AL350" s="686"/>
      <c r="AM350" s="687"/>
      <c r="AU350" s="102"/>
      <c r="AV350" s="102"/>
    </row>
    <row r="351" spans="1:48" s="96" customFormat="1" ht="15.75" customHeight="1" x14ac:dyDescent="0.4">
      <c r="AU351" s="102"/>
      <c r="AV351" s="102"/>
    </row>
    <row r="352" spans="1:48" s="96" customFormat="1" ht="27.75" customHeight="1" x14ac:dyDescent="0.4">
      <c r="A352" s="115"/>
      <c r="B352" s="599" t="str">
        <f>U12組合せ!$B$1</f>
        <v>ＪＦＡ　Ｕ-１２サッカーリーグ2021（in栃木） 宇都宮地区リーグ戦（前期）</v>
      </c>
      <c r="C352" s="599"/>
      <c r="D352" s="599"/>
      <c r="E352" s="599"/>
      <c r="F352" s="599"/>
      <c r="G352" s="599"/>
      <c r="H352" s="599"/>
      <c r="I352" s="599"/>
      <c r="J352" s="599"/>
      <c r="K352" s="599"/>
      <c r="L352" s="599"/>
      <c r="M352" s="599"/>
      <c r="N352" s="599"/>
      <c r="O352" s="599"/>
      <c r="P352" s="599"/>
      <c r="Q352" s="599"/>
      <c r="R352" s="599"/>
      <c r="S352" s="599"/>
      <c r="T352" s="599"/>
      <c r="U352" s="599"/>
      <c r="V352" s="599"/>
      <c r="W352" s="599"/>
      <c r="X352" s="599"/>
      <c r="Y352" s="599"/>
      <c r="Z352" s="599"/>
      <c r="AA352" s="599"/>
      <c r="AB352" s="599"/>
      <c r="AC352" s="612" t="str">
        <f>"【"&amp;(U12組合せ!$J$3)&amp;"】"</f>
        <v>【Ｄ ブロック】</v>
      </c>
      <c r="AD352" s="612"/>
      <c r="AE352" s="612"/>
      <c r="AF352" s="612"/>
      <c r="AG352" s="612"/>
      <c r="AH352" s="612"/>
      <c r="AI352" s="612"/>
      <c r="AJ352" s="612"/>
      <c r="AK352" s="602" t="str">
        <f>"第"&amp;(U12組合せ!$D$39)</f>
        <v>第４節</v>
      </c>
      <c r="AL352" s="602"/>
      <c r="AM352" s="602"/>
      <c r="AN352" s="602"/>
      <c r="AO352" s="602"/>
      <c r="AP352" s="597" t="s">
        <v>333</v>
      </c>
      <c r="AQ352" s="598"/>
      <c r="AU352" s="102"/>
      <c r="AV352" s="102"/>
    </row>
    <row r="353" spans="1:48" s="96" customFormat="1" ht="15" customHeight="1" x14ac:dyDescent="0.4">
      <c r="A353" s="115"/>
      <c r="B353" s="599"/>
      <c r="C353" s="599"/>
      <c r="D353" s="599"/>
      <c r="E353" s="599"/>
      <c r="F353" s="599"/>
      <c r="G353" s="599"/>
      <c r="H353" s="599"/>
      <c r="I353" s="599"/>
      <c r="J353" s="599"/>
      <c r="K353" s="599"/>
      <c r="L353" s="599"/>
      <c r="M353" s="599"/>
      <c r="N353" s="599"/>
      <c r="O353" s="599"/>
      <c r="P353" s="599"/>
      <c r="Q353" s="599"/>
      <c r="R353" s="599"/>
      <c r="S353" s="599"/>
      <c r="T353" s="599"/>
      <c r="U353" s="599"/>
      <c r="V353" s="599"/>
      <c r="W353" s="599"/>
      <c r="X353" s="599"/>
      <c r="Y353" s="599"/>
      <c r="Z353" s="599"/>
      <c r="AA353" s="599"/>
      <c r="AB353" s="599"/>
      <c r="AC353" s="601"/>
      <c r="AD353" s="601"/>
      <c r="AE353" s="601"/>
      <c r="AF353" s="601"/>
      <c r="AG353" s="601"/>
      <c r="AH353" s="601"/>
      <c r="AI353" s="601"/>
      <c r="AJ353" s="601"/>
      <c r="AK353" s="601"/>
      <c r="AL353" s="601"/>
      <c r="AM353" s="601"/>
      <c r="AN353" s="601"/>
      <c r="AO353" s="612"/>
      <c r="AP353" s="598"/>
      <c r="AQ353" s="598"/>
      <c r="AU353" s="102"/>
      <c r="AV353" s="102"/>
    </row>
    <row r="354" spans="1:48" s="96" customFormat="1" ht="29.25" customHeight="1" x14ac:dyDescent="0.4">
      <c r="C354" s="635" t="s">
        <v>1</v>
      </c>
      <c r="D354" s="635"/>
      <c r="E354" s="635"/>
      <c r="F354" s="635"/>
      <c r="G354" s="725" t="str">
        <f>U12対戦スケジュール!U94</f>
        <v>GP白沢 南 PM</v>
      </c>
      <c r="H354" s="726"/>
      <c r="I354" s="726"/>
      <c r="J354" s="726"/>
      <c r="K354" s="726"/>
      <c r="L354" s="726"/>
      <c r="M354" s="726"/>
      <c r="N354" s="726"/>
      <c r="O354" s="727"/>
      <c r="P354" s="635" t="s">
        <v>0</v>
      </c>
      <c r="Q354" s="635"/>
      <c r="R354" s="635"/>
      <c r="S354" s="635"/>
      <c r="T354" s="725" t="str">
        <f>E358</f>
        <v>宇大付属小SSS U11</v>
      </c>
      <c r="U354" s="726"/>
      <c r="V354" s="726"/>
      <c r="W354" s="726"/>
      <c r="X354" s="726"/>
      <c r="Y354" s="726"/>
      <c r="Z354" s="726"/>
      <c r="AA354" s="726"/>
      <c r="AB354" s="727"/>
      <c r="AC354" s="635" t="s">
        <v>2</v>
      </c>
      <c r="AD354" s="635"/>
      <c r="AE354" s="635"/>
      <c r="AF354" s="635"/>
      <c r="AG354" s="618">
        <f>U12組合せ!B$39</f>
        <v>44353</v>
      </c>
      <c r="AH354" s="619"/>
      <c r="AI354" s="619"/>
      <c r="AJ354" s="619"/>
      <c r="AK354" s="619"/>
      <c r="AL354" s="619"/>
      <c r="AM354" s="620" t="str">
        <f>"（"&amp;TEXT(AG354,"aaa")&amp;"）"</f>
        <v>（日）</v>
      </c>
      <c r="AN354" s="620"/>
      <c r="AO354" s="621"/>
      <c r="AP354" s="116"/>
      <c r="AR354" s="96">
        <f>364/2</f>
        <v>182</v>
      </c>
      <c r="AU354" s="102"/>
      <c r="AV354" s="102"/>
    </row>
    <row r="355" spans="1:48" s="96" customFormat="1" ht="17.25" customHeight="1" x14ac:dyDescent="0.4">
      <c r="C355" s="96" t="str">
        <f>U12組合せ!K44</f>
        <v>D357</v>
      </c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95"/>
      <c r="X355" s="95"/>
      <c r="Y355" s="95"/>
      <c r="Z355" s="95"/>
      <c r="AA355" s="95"/>
      <c r="AB355" s="95"/>
      <c r="AC355" s="95"/>
      <c r="AR355" s="96">
        <v>96</v>
      </c>
      <c r="AU355" s="102"/>
      <c r="AV355" s="102"/>
    </row>
    <row r="356" spans="1:48" s="96" customFormat="1" ht="30.75" customHeight="1" x14ac:dyDescent="0.4">
      <c r="C356" s="637" t="s">
        <v>518</v>
      </c>
      <c r="D356" s="637"/>
      <c r="E356" s="584" t="s">
        <v>536</v>
      </c>
      <c r="F356" s="584"/>
      <c r="G356" s="584"/>
      <c r="H356" s="584"/>
      <c r="I356" s="584"/>
      <c r="J356" s="584"/>
      <c r="K356" s="584"/>
      <c r="L356" s="584"/>
      <c r="M356" s="584"/>
      <c r="N356" s="584"/>
      <c r="O356" s="94"/>
      <c r="P356" s="94"/>
      <c r="Q356" s="636" t="s">
        <v>519</v>
      </c>
      <c r="R356" s="636"/>
      <c r="S356" s="709" t="s">
        <v>537</v>
      </c>
      <c r="T356" s="709"/>
      <c r="U356" s="709"/>
      <c r="V356" s="709"/>
      <c r="W356" s="709"/>
      <c r="X356" s="709"/>
      <c r="Y356" s="709"/>
      <c r="Z356" s="709"/>
      <c r="AA356" s="709"/>
      <c r="AB356" s="709"/>
      <c r="AC356" s="92"/>
      <c r="AD356" s="93"/>
      <c r="AE356" s="637" t="s">
        <v>517</v>
      </c>
      <c r="AF356" s="637"/>
      <c r="AG356" s="584" t="s">
        <v>538</v>
      </c>
      <c r="AH356" s="584"/>
      <c r="AI356" s="584"/>
      <c r="AJ356" s="584"/>
      <c r="AK356" s="584"/>
      <c r="AL356" s="584"/>
      <c r="AM356" s="584"/>
      <c r="AN356" s="584"/>
      <c r="AO356" s="584"/>
      <c r="AP356" s="584"/>
      <c r="AR356" s="96">
        <f>AR354-AR355</f>
        <v>86</v>
      </c>
      <c r="AU356" s="102"/>
      <c r="AV356" s="102"/>
    </row>
    <row r="357" spans="1:48" s="96" customFormat="1" ht="30.75" customHeight="1" x14ac:dyDescent="0.4">
      <c r="C357" s="637" t="s">
        <v>513</v>
      </c>
      <c r="D357" s="637"/>
      <c r="E357" s="584" t="s">
        <v>539</v>
      </c>
      <c r="F357" s="584"/>
      <c r="G357" s="584"/>
      <c r="H357" s="584"/>
      <c r="I357" s="584"/>
      <c r="J357" s="584"/>
      <c r="K357" s="584"/>
      <c r="L357" s="584"/>
      <c r="M357" s="584"/>
      <c r="N357" s="584"/>
      <c r="O357" s="94"/>
      <c r="P357" s="94"/>
      <c r="Q357" s="637" t="s">
        <v>546</v>
      </c>
      <c r="R357" s="637"/>
      <c r="S357" s="584" t="s">
        <v>540</v>
      </c>
      <c r="T357" s="584"/>
      <c r="U357" s="584"/>
      <c r="V357" s="584"/>
      <c r="W357" s="584"/>
      <c r="X357" s="584"/>
      <c r="Y357" s="584"/>
      <c r="Z357" s="584"/>
      <c r="AA357" s="584"/>
      <c r="AB357" s="584"/>
      <c r="AC357" s="92"/>
      <c r="AD357" s="93"/>
      <c r="AE357" s="710" t="s">
        <v>488</v>
      </c>
      <c r="AF357" s="710"/>
      <c r="AG357" s="638" t="s">
        <v>475</v>
      </c>
      <c r="AH357" s="638"/>
      <c r="AI357" s="638"/>
      <c r="AJ357" s="638"/>
      <c r="AK357" s="638"/>
      <c r="AL357" s="638"/>
      <c r="AM357" s="638"/>
      <c r="AN357" s="638"/>
      <c r="AO357" s="638"/>
      <c r="AP357" s="638"/>
      <c r="AU357" s="102"/>
      <c r="AV357" s="102"/>
    </row>
    <row r="358" spans="1:48" s="96" customFormat="1" ht="30.75" customHeight="1" x14ac:dyDescent="0.4">
      <c r="C358" s="637" t="s">
        <v>545</v>
      </c>
      <c r="D358" s="637"/>
      <c r="E358" s="709" t="s">
        <v>541</v>
      </c>
      <c r="F358" s="709"/>
      <c r="G358" s="709"/>
      <c r="H358" s="709"/>
      <c r="I358" s="709"/>
      <c r="J358" s="709"/>
      <c r="K358" s="709"/>
      <c r="L358" s="709"/>
      <c r="M358" s="709"/>
      <c r="N358" s="709"/>
      <c r="O358" s="94"/>
      <c r="P358" s="94"/>
      <c r="Q358" s="636" t="s">
        <v>547</v>
      </c>
      <c r="R358" s="636"/>
      <c r="S358" s="709" t="s">
        <v>542</v>
      </c>
      <c r="T358" s="709"/>
      <c r="U358" s="709"/>
      <c r="V358" s="709"/>
      <c r="W358" s="709"/>
      <c r="X358" s="709"/>
      <c r="Y358" s="709"/>
      <c r="Z358" s="709"/>
      <c r="AA358" s="709"/>
      <c r="AB358" s="709"/>
      <c r="AC358" s="92"/>
      <c r="AD358" s="93"/>
      <c r="AE358" s="710" t="s">
        <v>494</v>
      </c>
      <c r="AF358" s="710"/>
      <c r="AG358" s="638" t="s">
        <v>478</v>
      </c>
      <c r="AH358" s="638"/>
      <c r="AI358" s="638"/>
      <c r="AJ358" s="638"/>
      <c r="AK358" s="638"/>
      <c r="AL358" s="638"/>
      <c r="AM358" s="638"/>
      <c r="AN358" s="638"/>
      <c r="AO358" s="638"/>
      <c r="AP358" s="638"/>
      <c r="AU358" s="102"/>
      <c r="AV358" s="102"/>
    </row>
    <row r="359" spans="1:48" s="96" customFormat="1" ht="27.75" customHeight="1" x14ac:dyDescent="0.4">
      <c r="C359" s="637" t="s">
        <v>515</v>
      </c>
      <c r="D359" s="637"/>
      <c r="E359" s="584" t="s">
        <v>543</v>
      </c>
      <c r="F359" s="584"/>
      <c r="G359" s="584"/>
      <c r="H359" s="584"/>
      <c r="I359" s="584"/>
      <c r="J359" s="584"/>
      <c r="K359" s="584"/>
      <c r="L359" s="584"/>
      <c r="M359" s="584"/>
      <c r="N359" s="584"/>
      <c r="O359" s="94"/>
      <c r="P359" s="94"/>
      <c r="Q359" s="637" t="s">
        <v>548</v>
      </c>
      <c r="R359" s="637"/>
      <c r="S359" s="584" t="s">
        <v>544</v>
      </c>
      <c r="T359" s="584"/>
      <c r="U359" s="584"/>
      <c r="V359" s="584"/>
      <c r="W359" s="584"/>
      <c r="X359" s="584"/>
      <c r="Y359" s="584"/>
      <c r="Z359" s="584"/>
      <c r="AA359" s="584"/>
      <c r="AB359" s="584"/>
      <c r="AC359" s="92"/>
      <c r="AD359" s="93"/>
      <c r="AE359" s="710" t="s">
        <v>498</v>
      </c>
      <c r="AF359" s="710"/>
      <c r="AG359" s="638" t="s">
        <v>480</v>
      </c>
      <c r="AH359" s="638"/>
      <c r="AI359" s="638"/>
      <c r="AJ359" s="638"/>
      <c r="AK359" s="638"/>
      <c r="AL359" s="638"/>
      <c r="AM359" s="638"/>
      <c r="AN359" s="638"/>
      <c r="AO359" s="638"/>
      <c r="AP359" s="638"/>
      <c r="AU359" s="102"/>
      <c r="AV359" s="102"/>
    </row>
    <row r="360" spans="1:48" s="96" customFormat="1" ht="12" customHeight="1" x14ac:dyDescent="0.4">
      <c r="B360" s="102"/>
      <c r="O360" s="102"/>
      <c r="P360" s="102"/>
      <c r="AC360" s="95"/>
      <c r="AD360" s="102"/>
      <c r="AE360" s="102"/>
      <c r="AF360" s="102"/>
      <c r="AG360" s="102"/>
      <c r="AU360" s="102"/>
      <c r="AV360" s="102"/>
    </row>
    <row r="361" spans="1:48" s="96" customFormat="1" ht="12" customHeight="1" x14ac:dyDescent="0.4">
      <c r="C361" s="117"/>
      <c r="D361" s="118"/>
      <c r="E361" s="118"/>
      <c r="F361" s="118"/>
      <c r="G361" s="118"/>
      <c r="H361" s="118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18"/>
      <c r="U361" s="102"/>
      <c r="V361" s="118"/>
      <c r="W361" s="102"/>
      <c r="X361" s="118"/>
      <c r="Y361" s="102"/>
      <c r="Z361" s="118"/>
      <c r="AA361" s="102"/>
      <c r="AB361" s="118"/>
      <c r="AC361" s="118"/>
      <c r="AU361" s="102"/>
      <c r="AV361" s="102"/>
    </row>
    <row r="362" spans="1:48" s="96" customFormat="1" ht="21.75" customHeight="1" x14ac:dyDescent="0.4">
      <c r="B362" s="118" t="str">
        <f ca="1">IF(B364="①","【監督会議 8：20～】","【監督会議 12：50～】")</f>
        <v>【監督会議 12：50～】</v>
      </c>
      <c r="I362" s="96" t="s">
        <v>330</v>
      </c>
      <c r="AU362" s="102"/>
      <c r="AV362" s="102"/>
    </row>
    <row r="363" spans="1:48" s="96" customFormat="1" ht="19.5" customHeight="1" x14ac:dyDescent="0.4">
      <c r="B363" s="97"/>
      <c r="C363" s="711" t="s">
        <v>3</v>
      </c>
      <c r="D363" s="711"/>
      <c r="E363" s="711"/>
      <c r="F363" s="712" t="s">
        <v>4</v>
      </c>
      <c r="G363" s="712"/>
      <c r="H363" s="712"/>
      <c r="I363" s="712"/>
      <c r="J363" s="711" t="s">
        <v>5</v>
      </c>
      <c r="K363" s="713"/>
      <c r="L363" s="713"/>
      <c r="M363" s="713"/>
      <c r="N363" s="713"/>
      <c r="O363" s="713"/>
      <c r="P363" s="713"/>
      <c r="Q363" s="711" t="s">
        <v>32</v>
      </c>
      <c r="R363" s="711"/>
      <c r="S363" s="711"/>
      <c r="T363" s="711"/>
      <c r="U363" s="711"/>
      <c r="V363" s="711"/>
      <c r="W363" s="711"/>
      <c r="X363" s="711" t="s">
        <v>5</v>
      </c>
      <c r="Y363" s="713"/>
      <c r="Z363" s="713"/>
      <c r="AA363" s="713"/>
      <c r="AB363" s="713"/>
      <c r="AC363" s="713"/>
      <c r="AD363" s="713"/>
      <c r="AE363" s="712" t="s">
        <v>4</v>
      </c>
      <c r="AF363" s="712"/>
      <c r="AG363" s="712"/>
      <c r="AH363" s="712"/>
      <c r="AI363" s="711" t="s">
        <v>6</v>
      </c>
      <c r="AJ363" s="711"/>
      <c r="AK363" s="713"/>
      <c r="AL363" s="713"/>
      <c r="AM363" s="713"/>
      <c r="AN363" s="713"/>
      <c r="AO363" s="713"/>
      <c r="AP363" s="713"/>
      <c r="AU363" s="102"/>
      <c r="AV363" s="102"/>
    </row>
    <row r="364" spans="1:48" s="96" customFormat="1" ht="19.5" customHeight="1" x14ac:dyDescent="0.4">
      <c r="B364" s="644" t="str">
        <f ca="1">DBCS(INDIRECT("U12対戦スケジュール!s"&amp;(ROW())/2-AR$356))</f>
        <v>④</v>
      </c>
      <c r="C364" s="645">
        <f ca="1">INDIRECT("U12対戦スケジュール!t"&amp;(ROW())/2-AR$356)</f>
        <v>0.5625</v>
      </c>
      <c r="D364" s="646"/>
      <c r="E364" s="647"/>
      <c r="F364" s="583"/>
      <c r="G364" s="583"/>
      <c r="H364" s="583"/>
      <c r="I364" s="583"/>
      <c r="J364" s="746" t="str">
        <f ca="1">VLOOKUP(AR364,U12組合せ!B$10:K$19,9,TRUE)</f>
        <v>宇大付属小SSS U11</v>
      </c>
      <c r="K364" s="747"/>
      <c r="L364" s="747"/>
      <c r="M364" s="747"/>
      <c r="N364" s="747"/>
      <c r="O364" s="747"/>
      <c r="P364" s="747"/>
      <c r="Q364" s="628" t="str">
        <f>IF(OR(S364="",S365=""),"",S364+S365)</f>
        <v/>
      </c>
      <c r="R364" s="630"/>
      <c r="S364" s="100"/>
      <c r="T364" s="101" t="s">
        <v>7</v>
      </c>
      <c r="U364" s="100"/>
      <c r="V364" s="628" t="str">
        <f>IF(OR(U364="",U365=""),"",U364+U365)</f>
        <v/>
      </c>
      <c r="W364" s="630"/>
      <c r="X364" s="746" t="str">
        <f ca="1">VLOOKUP(AS364,U12組合せ!B$10:K$19,9,TRUE)</f>
        <v>ウエストフットコムU11</v>
      </c>
      <c r="Y364" s="747"/>
      <c r="Z364" s="747"/>
      <c r="AA364" s="747"/>
      <c r="AB364" s="747"/>
      <c r="AC364" s="747"/>
      <c r="AD364" s="747"/>
      <c r="AE364" s="583"/>
      <c r="AF364" s="583"/>
      <c r="AG364" s="583"/>
      <c r="AH364" s="583"/>
      <c r="AI364" s="758" t="str">
        <f ca="1">DBCS(VLOOKUP(B364,U12対戦スケジュール!S$96:X$98,6,TRUE))</f>
        <v>Ｄ７／Ａ３／Ａ６／Ｄ７</v>
      </c>
      <c r="AJ364" s="759"/>
      <c r="AK364" s="759"/>
      <c r="AL364" s="759"/>
      <c r="AM364" s="759"/>
      <c r="AN364" s="759"/>
      <c r="AO364" s="759"/>
      <c r="AP364" s="760"/>
      <c r="AR364" s="119">
        <f ca="1">INDIRECT("U12対戦スケジュール!U"&amp;(ROW())/2-AR$356)</f>
        <v>3</v>
      </c>
      <c r="AS364" s="119">
        <f ca="1">INDIRECT("U12対戦スケジュール!W"&amp;(ROW())/2-AR$356)</f>
        <v>5</v>
      </c>
      <c r="AU364" s="102"/>
      <c r="AV364" s="102"/>
    </row>
    <row r="365" spans="1:48" s="96" customFormat="1" ht="19.5" customHeight="1" x14ac:dyDescent="0.4">
      <c r="B365" s="644"/>
      <c r="C365" s="648"/>
      <c r="D365" s="649"/>
      <c r="E365" s="650"/>
      <c r="F365" s="583"/>
      <c r="G365" s="583"/>
      <c r="H365" s="583"/>
      <c r="I365" s="583"/>
      <c r="J365" s="747"/>
      <c r="K365" s="747"/>
      <c r="L365" s="747"/>
      <c r="M365" s="747"/>
      <c r="N365" s="747"/>
      <c r="O365" s="747"/>
      <c r="P365" s="747"/>
      <c r="Q365" s="631"/>
      <c r="R365" s="633"/>
      <c r="S365" s="100"/>
      <c r="T365" s="101" t="s">
        <v>7</v>
      </c>
      <c r="U365" s="100"/>
      <c r="V365" s="631"/>
      <c r="W365" s="633"/>
      <c r="X365" s="747"/>
      <c r="Y365" s="747"/>
      <c r="Z365" s="747"/>
      <c r="AA365" s="747"/>
      <c r="AB365" s="747"/>
      <c r="AC365" s="747"/>
      <c r="AD365" s="747"/>
      <c r="AE365" s="583"/>
      <c r="AF365" s="583"/>
      <c r="AG365" s="583"/>
      <c r="AH365" s="583"/>
      <c r="AI365" s="761"/>
      <c r="AJ365" s="762"/>
      <c r="AK365" s="762"/>
      <c r="AL365" s="762"/>
      <c r="AM365" s="762"/>
      <c r="AN365" s="762"/>
      <c r="AO365" s="762"/>
      <c r="AP365" s="763"/>
      <c r="AR365" s="119"/>
      <c r="AS365" s="119"/>
      <c r="AU365" s="102"/>
      <c r="AV365" s="102"/>
    </row>
    <row r="366" spans="1:48" s="96" customFormat="1" ht="19.5" customHeight="1" x14ac:dyDescent="0.4">
      <c r="B366" s="644" t="str">
        <f t="shared" ref="B366" ca="1" si="22">DBCS(INDIRECT("U12対戦スケジュール!s"&amp;(ROW())/2-AR$356))</f>
        <v>⑤</v>
      </c>
      <c r="C366" s="645">
        <f t="shared" ref="C366" ca="1" si="23">INDIRECT("U12対戦スケジュール!t"&amp;(ROW())/2-AR$356)</f>
        <v>0.60450000000000004</v>
      </c>
      <c r="D366" s="646"/>
      <c r="E366" s="647"/>
      <c r="F366" s="583"/>
      <c r="G366" s="583"/>
      <c r="H366" s="583"/>
      <c r="I366" s="583"/>
      <c r="J366" s="746" t="str">
        <f ca="1">VLOOKUP(AR366,U12組合せ!B$10:K$19,9,TRUE)</f>
        <v>宝木キッカーズ</v>
      </c>
      <c r="K366" s="747"/>
      <c r="L366" s="747"/>
      <c r="M366" s="747"/>
      <c r="N366" s="747"/>
      <c r="O366" s="747"/>
      <c r="P366" s="747"/>
      <c r="Q366" s="634" t="str">
        <f>IF(OR(S366="",S367=""),"",S366+S367)</f>
        <v/>
      </c>
      <c r="R366" s="634"/>
      <c r="S366" s="100"/>
      <c r="T366" s="101" t="s">
        <v>7</v>
      </c>
      <c r="U366" s="100"/>
      <c r="V366" s="634" t="str">
        <f>IF(OR(U366="",U367=""),"",U366+U367)</f>
        <v/>
      </c>
      <c r="W366" s="634"/>
      <c r="X366" s="746" t="str">
        <f ca="1">VLOOKUP(AS366,U12組合せ!B$10:K$19,9,TRUE)</f>
        <v>ウエストフットコムU11</v>
      </c>
      <c r="Y366" s="747"/>
      <c r="Z366" s="747"/>
      <c r="AA366" s="747"/>
      <c r="AB366" s="747"/>
      <c r="AC366" s="747"/>
      <c r="AD366" s="747"/>
      <c r="AE366" s="583"/>
      <c r="AF366" s="583"/>
      <c r="AG366" s="583"/>
      <c r="AH366" s="583"/>
      <c r="AI366" s="758" t="str">
        <f ca="1">DBCS(VLOOKUP(B366,U12対戦スケジュール!S$96:X$98,6,TRUE))</f>
        <v>Ｄ３／Ａ８／Ａ３／Ｄ３</v>
      </c>
      <c r="AJ366" s="759"/>
      <c r="AK366" s="759"/>
      <c r="AL366" s="759"/>
      <c r="AM366" s="759"/>
      <c r="AN366" s="759"/>
      <c r="AO366" s="759"/>
      <c r="AP366" s="760"/>
      <c r="AR366" s="119">
        <f ca="1">INDIRECT("U12対戦スケジュール!U"&amp;(ROW())/2-AR$356)</f>
        <v>7</v>
      </c>
      <c r="AS366" s="119">
        <f ca="1">INDIRECT("U12対戦スケジュール!W"&amp;(ROW())/2-AR$356)</f>
        <v>5</v>
      </c>
      <c r="AU366" s="102"/>
      <c r="AV366" s="102"/>
    </row>
    <row r="367" spans="1:48" s="96" customFormat="1" ht="19.5" customHeight="1" x14ac:dyDescent="0.4">
      <c r="B367" s="644"/>
      <c r="C367" s="648"/>
      <c r="D367" s="649"/>
      <c r="E367" s="650"/>
      <c r="F367" s="583"/>
      <c r="G367" s="583"/>
      <c r="H367" s="583"/>
      <c r="I367" s="583"/>
      <c r="J367" s="747"/>
      <c r="K367" s="747"/>
      <c r="L367" s="747"/>
      <c r="M367" s="747"/>
      <c r="N367" s="747"/>
      <c r="O367" s="747"/>
      <c r="P367" s="747"/>
      <c r="Q367" s="634"/>
      <c r="R367" s="634"/>
      <c r="S367" s="100"/>
      <c r="T367" s="101" t="s">
        <v>7</v>
      </c>
      <c r="U367" s="100"/>
      <c r="V367" s="634"/>
      <c r="W367" s="634"/>
      <c r="X367" s="747"/>
      <c r="Y367" s="747"/>
      <c r="Z367" s="747"/>
      <c r="AA367" s="747"/>
      <c r="AB367" s="747"/>
      <c r="AC367" s="747"/>
      <c r="AD367" s="747"/>
      <c r="AE367" s="583"/>
      <c r="AF367" s="583"/>
      <c r="AG367" s="583"/>
      <c r="AH367" s="583"/>
      <c r="AI367" s="761"/>
      <c r="AJ367" s="762"/>
      <c r="AK367" s="762"/>
      <c r="AL367" s="762"/>
      <c r="AM367" s="762"/>
      <c r="AN367" s="762"/>
      <c r="AO367" s="762"/>
      <c r="AP367" s="763"/>
      <c r="AR367" s="119"/>
      <c r="AS367" s="119"/>
      <c r="AU367" s="102"/>
      <c r="AV367" s="102"/>
    </row>
    <row r="368" spans="1:48" s="96" customFormat="1" ht="19.5" customHeight="1" x14ac:dyDescent="0.4">
      <c r="B368" s="644" t="str">
        <f t="shared" ref="B368" ca="1" si="24">DBCS(INDIRECT("U12対戦スケジュール!s"&amp;(ROW())/2-AR$356))</f>
        <v>⑥</v>
      </c>
      <c r="C368" s="645">
        <f t="shared" ref="C368" ca="1" si="25">INDIRECT("U12対戦スケジュール!t"&amp;(ROW())/2-AR$356)</f>
        <v>0.64650000000000007</v>
      </c>
      <c r="D368" s="646"/>
      <c r="E368" s="647"/>
      <c r="F368" s="583"/>
      <c r="G368" s="583"/>
      <c r="H368" s="583"/>
      <c r="I368" s="583"/>
      <c r="J368" s="746" t="str">
        <f ca="1">VLOOKUP(AR368,U12組合せ!B$10:K$19,9,TRUE)</f>
        <v>宝木キッカーズ</v>
      </c>
      <c r="K368" s="747"/>
      <c r="L368" s="747"/>
      <c r="M368" s="747"/>
      <c r="N368" s="747"/>
      <c r="O368" s="747"/>
      <c r="P368" s="747"/>
      <c r="Q368" s="634" t="str">
        <f>IF(OR(S368="",S369=""),"",S368+S369)</f>
        <v/>
      </c>
      <c r="R368" s="634"/>
      <c r="S368" s="100"/>
      <c r="T368" s="101" t="s">
        <v>7</v>
      </c>
      <c r="U368" s="100"/>
      <c r="V368" s="634" t="str">
        <f>IF(OR(U368="",U369=""),"",U368+U369)</f>
        <v/>
      </c>
      <c r="W368" s="634"/>
      <c r="X368" s="746" t="str">
        <f ca="1">VLOOKUP(AS368,U12組合せ!B$10:K$19,9,TRUE)</f>
        <v>宇大付属小SSS U11</v>
      </c>
      <c r="Y368" s="747"/>
      <c r="Z368" s="747"/>
      <c r="AA368" s="747"/>
      <c r="AB368" s="747"/>
      <c r="AC368" s="747"/>
      <c r="AD368" s="747"/>
      <c r="AE368" s="583"/>
      <c r="AF368" s="583"/>
      <c r="AG368" s="583"/>
      <c r="AH368" s="583"/>
      <c r="AI368" s="758" t="str">
        <f ca="1">DBCS(VLOOKUP(B368,U12対戦スケジュール!S$96:X$98,6,TRUE))</f>
        <v>Ｄ５／Ａ６／Ａ８／Ｄ５</v>
      </c>
      <c r="AJ368" s="759"/>
      <c r="AK368" s="759"/>
      <c r="AL368" s="759"/>
      <c r="AM368" s="759"/>
      <c r="AN368" s="759"/>
      <c r="AO368" s="759"/>
      <c r="AP368" s="760"/>
      <c r="AR368" s="119">
        <f ca="1">INDIRECT("U12対戦スケジュール!U"&amp;(ROW())/2-AR$356)</f>
        <v>7</v>
      </c>
      <c r="AS368" s="119">
        <f ca="1">INDIRECT("U12対戦スケジュール!W"&amp;(ROW())/2-AR$356)</f>
        <v>3</v>
      </c>
      <c r="AU368" s="102"/>
      <c r="AV368" s="102"/>
    </row>
    <row r="369" spans="1:48" s="96" customFormat="1" ht="19.5" customHeight="1" x14ac:dyDescent="0.4">
      <c r="B369" s="644"/>
      <c r="C369" s="648"/>
      <c r="D369" s="649"/>
      <c r="E369" s="650"/>
      <c r="F369" s="583"/>
      <c r="G369" s="583"/>
      <c r="H369" s="583"/>
      <c r="I369" s="583"/>
      <c r="J369" s="747"/>
      <c r="K369" s="747"/>
      <c r="L369" s="747"/>
      <c r="M369" s="747"/>
      <c r="N369" s="747"/>
      <c r="O369" s="747"/>
      <c r="P369" s="747"/>
      <c r="Q369" s="634"/>
      <c r="R369" s="634"/>
      <c r="S369" s="100"/>
      <c r="T369" s="101" t="s">
        <v>7</v>
      </c>
      <c r="U369" s="100"/>
      <c r="V369" s="634"/>
      <c r="W369" s="634"/>
      <c r="X369" s="747"/>
      <c r="Y369" s="747"/>
      <c r="Z369" s="747"/>
      <c r="AA369" s="747"/>
      <c r="AB369" s="747"/>
      <c r="AC369" s="747"/>
      <c r="AD369" s="747"/>
      <c r="AE369" s="583"/>
      <c r="AF369" s="583"/>
      <c r="AG369" s="583"/>
      <c r="AH369" s="583"/>
      <c r="AI369" s="761"/>
      <c r="AJ369" s="762"/>
      <c r="AK369" s="762"/>
      <c r="AL369" s="762"/>
      <c r="AM369" s="762"/>
      <c r="AN369" s="762"/>
      <c r="AO369" s="762"/>
      <c r="AP369" s="763"/>
      <c r="AR369" s="119"/>
      <c r="AS369" s="119"/>
      <c r="AU369" s="102"/>
      <c r="AV369" s="102"/>
    </row>
    <row r="370" spans="1:48" s="96" customFormat="1" ht="19.5" customHeight="1" x14ac:dyDescent="0.4">
      <c r="B370" s="586"/>
      <c r="C370" s="739"/>
      <c r="D370" s="740"/>
      <c r="E370" s="741"/>
      <c r="F370" s="704"/>
      <c r="G370" s="704"/>
      <c r="H370" s="704"/>
      <c r="I370" s="704"/>
      <c r="J370" s="701"/>
      <c r="K370" s="702"/>
      <c r="L370" s="702"/>
      <c r="M370" s="702"/>
      <c r="N370" s="702"/>
      <c r="O370" s="702"/>
      <c r="P370" s="702"/>
      <c r="Q370" s="705"/>
      <c r="R370" s="705"/>
      <c r="S370" s="109"/>
      <c r="T370" s="110"/>
      <c r="U370" s="109"/>
      <c r="V370" s="705"/>
      <c r="W370" s="705"/>
      <c r="X370" s="701"/>
      <c r="Y370" s="702"/>
      <c r="Z370" s="702"/>
      <c r="AA370" s="702"/>
      <c r="AB370" s="702"/>
      <c r="AC370" s="702"/>
      <c r="AD370" s="702"/>
      <c r="AE370" s="704"/>
      <c r="AF370" s="704"/>
      <c r="AG370" s="704"/>
      <c r="AH370" s="704"/>
      <c r="AI370" s="706"/>
      <c r="AJ370" s="707"/>
      <c r="AK370" s="707"/>
      <c r="AL370" s="707"/>
      <c r="AM370" s="707"/>
      <c r="AN370" s="707"/>
      <c r="AO370" s="707"/>
      <c r="AP370" s="707"/>
      <c r="AR370" s="119"/>
      <c r="AS370" s="119"/>
      <c r="AU370" s="102"/>
      <c r="AV370" s="102"/>
    </row>
    <row r="371" spans="1:48" s="96" customFormat="1" ht="19.5" customHeight="1" x14ac:dyDescent="0.4">
      <c r="B371" s="644"/>
      <c r="C371" s="648"/>
      <c r="D371" s="649"/>
      <c r="E371" s="650"/>
      <c r="F371" s="583"/>
      <c r="G371" s="583"/>
      <c r="H371" s="583"/>
      <c r="I371" s="583"/>
      <c r="J371" s="703"/>
      <c r="K371" s="703"/>
      <c r="L371" s="703"/>
      <c r="M371" s="703"/>
      <c r="N371" s="703"/>
      <c r="O371" s="703"/>
      <c r="P371" s="703"/>
      <c r="Q371" s="634"/>
      <c r="R371" s="634"/>
      <c r="S371" s="100"/>
      <c r="T371" s="101"/>
      <c r="U371" s="100"/>
      <c r="V371" s="634"/>
      <c r="W371" s="634"/>
      <c r="X371" s="703"/>
      <c r="Y371" s="703"/>
      <c r="Z371" s="703"/>
      <c r="AA371" s="703"/>
      <c r="AB371" s="703"/>
      <c r="AC371" s="703"/>
      <c r="AD371" s="703"/>
      <c r="AE371" s="583"/>
      <c r="AF371" s="583"/>
      <c r="AG371" s="583"/>
      <c r="AH371" s="583"/>
      <c r="AI371" s="708"/>
      <c r="AJ371" s="708"/>
      <c r="AK371" s="708"/>
      <c r="AL371" s="708"/>
      <c r="AM371" s="708"/>
      <c r="AN371" s="708"/>
      <c r="AO371" s="708"/>
      <c r="AP371" s="708"/>
      <c r="AR371" s="119"/>
      <c r="AS371" s="119"/>
      <c r="AU371" s="102"/>
      <c r="AV371" s="102"/>
    </row>
    <row r="372" spans="1:48" s="96" customFormat="1" ht="19.5" customHeight="1" x14ac:dyDescent="0.4">
      <c r="B372" s="585"/>
      <c r="C372" s="587"/>
      <c r="D372" s="588"/>
      <c r="E372" s="589"/>
      <c r="F372" s="622"/>
      <c r="G372" s="623"/>
      <c r="H372" s="623"/>
      <c r="I372" s="624"/>
      <c r="J372" s="689"/>
      <c r="K372" s="690"/>
      <c r="L372" s="690"/>
      <c r="M372" s="690"/>
      <c r="N372" s="690"/>
      <c r="O372" s="690"/>
      <c r="P372" s="691"/>
      <c r="Q372" s="628"/>
      <c r="R372" s="630"/>
      <c r="S372" s="100"/>
      <c r="T372" s="101"/>
      <c r="U372" s="100"/>
      <c r="V372" s="628"/>
      <c r="W372" s="630"/>
      <c r="X372" s="695"/>
      <c r="Y372" s="696"/>
      <c r="Z372" s="696"/>
      <c r="AA372" s="696"/>
      <c r="AB372" s="696"/>
      <c r="AC372" s="696"/>
      <c r="AD372" s="697"/>
      <c r="AE372" s="622"/>
      <c r="AF372" s="623"/>
      <c r="AG372" s="623"/>
      <c r="AH372" s="624"/>
      <c r="AI372" s="628"/>
      <c r="AJ372" s="629"/>
      <c r="AK372" s="629"/>
      <c r="AL372" s="629"/>
      <c r="AM372" s="629"/>
      <c r="AN372" s="629"/>
      <c r="AO372" s="629"/>
      <c r="AP372" s="630"/>
      <c r="AU372" s="102"/>
      <c r="AV372" s="102"/>
    </row>
    <row r="373" spans="1:48" s="96" customFormat="1" ht="19.5" customHeight="1" x14ac:dyDescent="0.4">
      <c r="B373" s="586"/>
      <c r="C373" s="590"/>
      <c r="D373" s="591"/>
      <c r="E373" s="592"/>
      <c r="F373" s="625"/>
      <c r="G373" s="626"/>
      <c r="H373" s="626"/>
      <c r="I373" s="627"/>
      <c r="J373" s="692"/>
      <c r="K373" s="693"/>
      <c r="L373" s="693"/>
      <c r="M373" s="693"/>
      <c r="N373" s="693"/>
      <c r="O373" s="693"/>
      <c r="P373" s="694"/>
      <c r="Q373" s="631"/>
      <c r="R373" s="633"/>
      <c r="S373" s="100"/>
      <c r="T373" s="101"/>
      <c r="U373" s="100"/>
      <c r="V373" s="631"/>
      <c r="W373" s="633"/>
      <c r="X373" s="698"/>
      <c r="Y373" s="699"/>
      <c r="Z373" s="699"/>
      <c r="AA373" s="699"/>
      <c r="AB373" s="699"/>
      <c r="AC373" s="699"/>
      <c r="AD373" s="700"/>
      <c r="AE373" s="625"/>
      <c r="AF373" s="626"/>
      <c r="AG373" s="626"/>
      <c r="AH373" s="627"/>
      <c r="AI373" s="631"/>
      <c r="AJ373" s="632"/>
      <c r="AK373" s="632"/>
      <c r="AL373" s="632"/>
      <c r="AM373" s="632"/>
      <c r="AN373" s="632"/>
      <c r="AO373" s="632"/>
      <c r="AP373" s="633"/>
      <c r="AU373" s="102"/>
      <c r="AV373" s="102"/>
    </row>
    <row r="374" spans="1:48" s="96" customFormat="1" ht="19.5" customHeight="1" x14ac:dyDescent="0.4">
      <c r="B374" s="585"/>
      <c r="C374" s="587"/>
      <c r="D374" s="588"/>
      <c r="E374" s="589"/>
      <c r="F374" s="622"/>
      <c r="G374" s="623"/>
      <c r="H374" s="623"/>
      <c r="I374" s="624"/>
      <c r="J374" s="689"/>
      <c r="K374" s="690"/>
      <c r="L374" s="690"/>
      <c r="M374" s="690"/>
      <c r="N374" s="690"/>
      <c r="O374" s="690"/>
      <c r="P374" s="691"/>
      <c r="Q374" s="628"/>
      <c r="R374" s="630"/>
      <c r="S374" s="100"/>
      <c r="T374" s="101"/>
      <c r="U374" s="100"/>
      <c r="V374" s="628"/>
      <c r="W374" s="630"/>
      <c r="X374" s="695"/>
      <c r="Y374" s="696"/>
      <c r="Z374" s="696"/>
      <c r="AA374" s="696"/>
      <c r="AB374" s="696"/>
      <c r="AC374" s="696"/>
      <c r="AD374" s="697"/>
      <c r="AE374" s="622"/>
      <c r="AF374" s="623"/>
      <c r="AG374" s="623"/>
      <c r="AH374" s="624"/>
      <c r="AI374" s="628"/>
      <c r="AJ374" s="629"/>
      <c r="AK374" s="629"/>
      <c r="AL374" s="629"/>
      <c r="AM374" s="629"/>
      <c r="AN374" s="629"/>
      <c r="AO374" s="629"/>
      <c r="AP374" s="630"/>
      <c r="AU374" s="102"/>
      <c r="AV374" s="102"/>
    </row>
    <row r="375" spans="1:48" s="96" customFormat="1" ht="19.5" customHeight="1" x14ac:dyDescent="0.4">
      <c r="B375" s="586"/>
      <c r="C375" s="590"/>
      <c r="D375" s="591"/>
      <c r="E375" s="592"/>
      <c r="F375" s="625"/>
      <c r="G375" s="626"/>
      <c r="H375" s="626"/>
      <c r="I375" s="627"/>
      <c r="J375" s="692"/>
      <c r="K375" s="693"/>
      <c r="L375" s="693"/>
      <c r="M375" s="693"/>
      <c r="N375" s="693"/>
      <c r="O375" s="693"/>
      <c r="P375" s="694"/>
      <c r="Q375" s="631"/>
      <c r="R375" s="633"/>
      <c r="S375" s="100"/>
      <c r="T375" s="101"/>
      <c r="U375" s="100"/>
      <c r="V375" s="631"/>
      <c r="W375" s="633"/>
      <c r="X375" s="698"/>
      <c r="Y375" s="699"/>
      <c r="Z375" s="699"/>
      <c r="AA375" s="699"/>
      <c r="AB375" s="699"/>
      <c r="AC375" s="699"/>
      <c r="AD375" s="700"/>
      <c r="AE375" s="625"/>
      <c r="AF375" s="626"/>
      <c r="AG375" s="626"/>
      <c r="AH375" s="627"/>
      <c r="AI375" s="631"/>
      <c r="AJ375" s="632"/>
      <c r="AK375" s="632"/>
      <c r="AL375" s="632"/>
      <c r="AM375" s="632"/>
      <c r="AN375" s="632"/>
      <c r="AO375" s="632"/>
      <c r="AP375" s="633"/>
      <c r="AU375" s="102"/>
      <c r="AV375" s="102"/>
    </row>
    <row r="376" spans="1:48" s="96" customFormat="1" ht="16.5" x14ac:dyDescent="0.4">
      <c r="B376" s="585"/>
      <c r="C376" s="587"/>
      <c r="D376" s="588"/>
      <c r="E376" s="589"/>
      <c r="F376" s="622"/>
      <c r="G376" s="623"/>
      <c r="H376" s="623"/>
      <c r="I376" s="624"/>
      <c r="J376" s="689"/>
      <c r="K376" s="690"/>
      <c r="L376" s="690"/>
      <c r="M376" s="690"/>
      <c r="N376" s="690"/>
      <c r="O376" s="690"/>
      <c r="P376" s="691"/>
      <c r="Q376" s="628"/>
      <c r="R376" s="630"/>
      <c r="S376" s="100"/>
      <c r="T376" s="101"/>
      <c r="U376" s="100"/>
      <c r="V376" s="628"/>
      <c r="W376" s="630"/>
      <c r="X376" s="695"/>
      <c r="Y376" s="696"/>
      <c r="Z376" s="696"/>
      <c r="AA376" s="696"/>
      <c r="AB376" s="696"/>
      <c r="AC376" s="696"/>
      <c r="AD376" s="697"/>
      <c r="AE376" s="622"/>
      <c r="AF376" s="623"/>
      <c r="AG376" s="623"/>
      <c r="AH376" s="624"/>
      <c r="AI376" s="628"/>
      <c r="AJ376" s="629"/>
      <c r="AK376" s="629"/>
      <c r="AL376" s="629"/>
      <c r="AM376" s="629"/>
      <c r="AN376" s="629"/>
      <c r="AO376" s="629"/>
      <c r="AP376" s="630"/>
      <c r="AU376" s="102"/>
      <c r="AV376" s="102"/>
    </row>
    <row r="377" spans="1:48" s="96" customFormat="1" ht="16.5" x14ac:dyDescent="0.4">
      <c r="B377" s="586"/>
      <c r="C377" s="590"/>
      <c r="D377" s="591"/>
      <c r="E377" s="592"/>
      <c r="F377" s="625"/>
      <c r="G377" s="626"/>
      <c r="H377" s="626"/>
      <c r="I377" s="627"/>
      <c r="J377" s="692"/>
      <c r="K377" s="693"/>
      <c r="L377" s="693"/>
      <c r="M377" s="693"/>
      <c r="N377" s="693"/>
      <c r="O377" s="693"/>
      <c r="P377" s="694"/>
      <c r="Q377" s="631"/>
      <c r="R377" s="633"/>
      <c r="S377" s="100"/>
      <c r="T377" s="101"/>
      <c r="U377" s="100"/>
      <c r="V377" s="631"/>
      <c r="W377" s="633"/>
      <c r="X377" s="698"/>
      <c r="Y377" s="699"/>
      <c r="Z377" s="699"/>
      <c r="AA377" s="699"/>
      <c r="AB377" s="699"/>
      <c r="AC377" s="699"/>
      <c r="AD377" s="700"/>
      <c r="AE377" s="625"/>
      <c r="AF377" s="626"/>
      <c r="AG377" s="626"/>
      <c r="AH377" s="627"/>
      <c r="AI377" s="631"/>
      <c r="AJ377" s="632"/>
      <c r="AK377" s="632"/>
      <c r="AL377" s="632"/>
      <c r="AM377" s="632"/>
      <c r="AN377" s="632"/>
      <c r="AO377" s="632"/>
      <c r="AP377" s="633"/>
      <c r="AU377" s="102"/>
      <c r="AV377" s="102"/>
    </row>
    <row r="378" spans="1:48" s="96" customFormat="1" ht="20.25" thickBot="1" x14ac:dyDescent="0.45">
      <c r="A378" s="102"/>
      <c r="B378" s="103"/>
      <c r="C378" s="104"/>
      <c r="D378" s="104"/>
      <c r="E378" s="104"/>
      <c r="F378" s="103"/>
      <c r="G378" s="103"/>
      <c r="H378" s="103"/>
      <c r="I378" s="103"/>
      <c r="J378" s="103"/>
      <c r="K378" s="105"/>
      <c r="L378" s="105"/>
      <c r="M378" s="106"/>
      <c r="N378" s="107"/>
      <c r="O378" s="106"/>
      <c r="P378" s="105"/>
      <c r="Q378" s="105"/>
      <c r="R378" s="103"/>
      <c r="S378" s="103"/>
      <c r="T378" s="103"/>
      <c r="U378" s="103"/>
      <c r="V378" s="103"/>
      <c r="W378" s="108"/>
      <c r="X378" s="108"/>
      <c r="Y378" s="108"/>
      <c r="Z378" s="108"/>
      <c r="AA378" s="108"/>
      <c r="AB378" s="108"/>
      <c r="AC378" s="102"/>
      <c r="AU378" s="102"/>
      <c r="AV378" s="102"/>
    </row>
    <row r="379" spans="1:48" s="96" customFormat="1" ht="20.25" thickBot="1" x14ac:dyDescent="0.45">
      <c r="D379" s="664" t="s">
        <v>8</v>
      </c>
      <c r="E379" s="665"/>
      <c r="F379" s="665"/>
      <c r="G379" s="665"/>
      <c r="H379" s="665"/>
      <c r="I379" s="666"/>
      <c r="J379" s="667" t="s">
        <v>5</v>
      </c>
      <c r="K379" s="665"/>
      <c r="L379" s="665"/>
      <c r="M379" s="665"/>
      <c r="N379" s="665"/>
      <c r="O379" s="665"/>
      <c r="P379" s="665"/>
      <c r="Q379" s="666"/>
      <c r="R379" s="668" t="s">
        <v>9</v>
      </c>
      <c r="S379" s="669"/>
      <c r="T379" s="669"/>
      <c r="U379" s="669"/>
      <c r="V379" s="669"/>
      <c r="W379" s="669"/>
      <c r="X379" s="669"/>
      <c r="Y379" s="669"/>
      <c r="Z379" s="670"/>
      <c r="AA379" s="609" t="s">
        <v>10</v>
      </c>
      <c r="AB379" s="610"/>
      <c r="AC379" s="671"/>
      <c r="AD379" s="609" t="s">
        <v>11</v>
      </c>
      <c r="AE379" s="610"/>
      <c r="AF379" s="610"/>
      <c r="AG379" s="610"/>
      <c r="AH379" s="610"/>
      <c r="AI379" s="610"/>
      <c r="AJ379" s="610"/>
      <c r="AK379" s="610"/>
      <c r="AL379" s="610"/>
      <c r="AM379" s="611"/>
      <c r="AU379" s="102"/>
      <c r="AV379" s="102"/>
    </row>
    <row r="380" spans="1:48" s="96" customFormat="1" ht="28.5" customHeight="1" x14ac:dyDescent="0.4">
      <c r="D380" s="651" t="s">
        <v>298</v>
      </c>
      <c r="E380" s="652"/>
      <c r="F380" s="652"/>
      <c r="G380" s="652"/>
      <c r="H380" s="652"/>
      <c r="I380" s="653"/>
      <c r="J380" s="654"/>
      <c r="K380" s="652"/>
      <c r="L380" s="652"/>
      <c r="M380" s="652"/>
      <c r="N380" s="652"/>
      <c r="O380" s="652"/>
      <c r="P380" s="652"/>
      <c r="Q380" s="653"/>
      <c r="R380" s="655"/>
      <c r="S380" s="656"/>
      <c r="T380" s="656"/>
      <c r="U380" s="656"/>
      <c r="V380" s="656"/>
      <c r="W380" s="656"/>
      <c r="X380" s="656"/>
      <c r="Y380" s="656"/>
      <c r="Z380" s="657"/>
      <c r="AA380" s="658"/>
      <c r="AB380" s="659"/>
      <c r="AC380" s="660"/>
      <c r="AD380" s="661"/>
      <c r="AE380" s="662"/>
      <c r="AF380" s="662"/>
      <c r="AG380" s="662"/>
      <c r="AH380" s="662"/>
      <c r="AI380" s="662"/>
      <c r="AJ380" s="662"/>
      <c r="AK380" s="662"/>
      <c r="AL380" s="662"/>
      <c r="AM380" s="663"/>
      <c r="AU380" s="102"/>
      <c r="AV380" s="102"/>
    </row>
    <row r="381" spans="1:48" s="96" customFormat="1" ht="28.5" customHeight="1" x14ac:dyDescent="0.4">
      <c r="D381" s="688" t="s">
        <v>12</v>
      </c>
      <c r="E381" s="604"/>
      <c r="F381" s="604"/>
      <c r="G381" s="604"/>
      <c r="H381" s="604"/>
      <c r="I381" s="605"/>
      <c r="J381" s="603"/>
      <c r="K381" s="604"/>
      <c r="L381" s="604"/>
      <c r="M381" s="604"/>
      <c r="N381" s="604"/>
      <c r="O381" s="604"/>
      <c r="P381" s="604"/>
      <c r="Q381" s="605"/>
      <c r="R381" s="606"/>
      <c r="S381" s="607"/>
      <c r="T381" s="607"/>
      <c r="U381" s="607"/>
      <c r="V381" s="607"/>
      <c r="W381" s="607"/>
      <c r="X381" s="607"/>
      <c r="Y381" s="607"/>
      <c r="Z381" s="608"/>
      <c r="AA381" s="606"/>
      <c r="AB381" s="607"/>
      <c r="AC381" s="608"/>
      <c r="AD381" s="672"/>
      <c r="AE381" s="673"/>
      <c r="AF381" s="673"/>
      <c r="AG381" s="673"/>
      <c r="AH381" s="673"/>
      <c r="AI381" s="673"/>
      <c r="AJ381" s="673"/>
      <c r="AK381" s="673"/>
      <c r="AL381" s="673"/>
      <c r="AM381" s="674"/>
      <c r="AU381" s="102"/>
      <c r="AV381" s="102"/>
    </row>
    <row r="382" spans="1:48" s="96" customFormat="1" ht="28.5" customHeight="1" thickBot="1" x14ac:dyDescent="0.45">
      <c r="D382" s="675" t="s">
        <v>12</v>
      </c>
      <c r="E382" s="676"/>
      <c r="F382" s="676"/>
      <c r="G382" s="676"/>
      <c r="H382" s="676"/>
      <c r="I382" s="677"/>
      <c r="J382" s="678"/>
      <c r="K382" s="676"/>
      <c r="L382" s="676"/>
      <c r="M382" s="676"/>
      <c r="N382" s="676"/>
      <c r="O382" s="676"/>
      <c r="P382" s="676"/>
      <c r="Q382" s="677"/>
      <c r="R382" s="679"/>
      <c r="S382" s="680"/>
      <c r="T382" s="680"/>
      <c r="U382" s="680"/>
      <c r="V382" s="680"/>
      <c r="W382" s="680"/>
      <c r="X382" s="680"/>
      <c r="Y382" s="680"/>
      <c r="Z382" s="681"/>
      <c r="AA382" s="682"/>
      <c r="AB382" s="683"/>
      <c r="AC382" s="684"/>
      <c r="AD382" s="685"/>
      <c r="AE382" s="686"/>
      <c r="AF382" s="686"/>
      <c r="AG382" s="686"/>
      <c r="AH382" s="686"/>
      <c r="AI382" s="686"/>
      <c r="AJ382" s="686"/>
      <c r="AK382" s="686"/>
      <c r="AL382" s="686"/>
      <c r="AM382" s="687"/>
      <c r="AU382" s="102"/>
      <c r="AV382" s="102"/>
    </row>
  </sheetData>
  <mergeCells count="1446">
    <mergeCell ref="AD381:AM381"/>
    <mergeCell ref="D382:I382"/>
    <mergeCell ref="J382:Q382"/>
    <mergeCell ref="R382:Z382"/>
    <mergeCell ref="AA382:AC382"/>
    <mergeCell ref="AD382:AM382"/>
    <mergeCell ref="D381:I381"/>
    <mergeCell ref="J381:Q381"/>
    <mergeCell ref="R381:Z381"/>
    <mergeCell ref="AA381:AC381"/>
    <mergeCell ref="B376:B377"/>
    <mergeCell ref="C376:E377"/>
    <mergeCell ref="F376:I377"/>
    <mergeCell ref="J376:P377"/>
    <mergeCell ref="Q376:R377"/>
    <mergeCell ref="V376:W377"/>
    <mergeCell ref="X376:AD377"/>
    <mergeCell ref="AE376:AH377"/>
    <mergeCell ref="AI376:AP377"/>
    <mergeCell ref="AD379:AM379"/>
    <mergeCell ref="D380:I380"/>
    <mergeCell ref="J380:Q380"/>
    <mergeCell ref="R380:Z380"/>
    <mergeCell ref="AA380:AC380"/>
    <mergeCell ref="AD380:AM380"/>
    <mergeCell ref="D379:I379"/>
    <mergeCell ref="J379:Q379"/>
    <mergeCell ref="R379:Z379"/>
    <mergeCell ref="AA379:AC379"/>
    <mergeCell ref="B372:B373"/>
    <mergeCell ref="C372:E373"/>
    <mergeCell ref="F372:I373"/>
    <mergeCell ref="J372:P373"/>
    <mergeCell ref="Q372:R373"/>
    <mergeCell ref="V372:W373"/>
    <mergeCell ref="X372:AD373"/>
    <mergeCell ref="AE372:AH373"/>
    <mergeCell ref="AI372:AP373"/>
    <mergeCell ref="Q374:R375"/>
    <mergeCell ref="V374:W375"/>
    <mergeCell ref="X374:AD375"/>
    <mergeCell ref="AE374:AH375"/>
    <mergeCell ref="B374:B375"/>
    <mergeCell ref="C374:E375"/>
    <mergeCell ref="F374:I375"/>
    <mergeCell ref="J374:P375"/>
    <mergeCell ref="AI374:AP375"/>
    <mergeCell ref="B368:B369"/>
    <mergeCell ref="C368:E369"/>
    <mergeCell ref="F368:I369"/>
    <mergeCell ref="J368:P369"/>
    <mergeCell ref="Q368:R369"/>
    <mergeCell ref="V368:W369"/>
    <mergeCell ref="X368:AD369"/>
    <mergeCell ref="AE368:AH369"/>
    <mergeCell ref="AI368:AP369"/>
    <mergeCell ref="Q370:R371"/>
    <mergeCell ref="V370:W371"/>
    <mergeCell ref="X370:AD371"/>
    <mergeCell ref="AE370:AH371"/>
    <mergeCell ref="B370:B371"/>
    <mergeCell ref="C370:E371"/>
    <mergeCell ref="F370:I371"/>
    <mergeCell ref="J370:P371"/>
    <mergeCell ref="AI370:AP371"/>
    <mergeCell ref="B364:B365"/>
    <mergeCell ref="C364:E365"/>
    <mergeCell ref="F364:I365"/>
    <mergeCell ref="J364:P365"/>
    <mergeCell ref="Q364:R365"/>
    <mergeCell ref="V364:W365"/>
    <mergeCell ref="X364:AD365"/>
    <mergeCell ref="AE364:AH365"/>
    <mergeCell ref="AI364:AP365"/>
    <mergeCell ref="B366:B367"/>
    <mergeCell ref="C366:E367"/>
    <mergeCell ref="F366:I367"/>
    <mergeCell ref="J366:P367"/>
    <mergeCell ref="Q366:R367"/>
    <mergeCell ref="V366:W367"/>
    <mergeCell ref="X366:AD367"/>
    <mergeCell ref="AE366:AH367"/>
    <mergeCell ref="AI366:AP367"/>
    <mergeCell ref="C356:D356"/>
    <mergeCell ref="E356:N356"/>
    <mergeCell ref="C359:D359"/>
    <mergeCell ref="E359:N359"/>
    <mergeCell ref="Q358:R358"/>
    <mergeCell ref="S358:AB358"/>
    <mergeCell ref="C354:F354"/>
    <mergeCell ref="AE356:AF356"/>
    <mergeCell ref="AG356:AP356"/>
    <mergeCell ref="C357:D357"/>
    <mergeCell ref="E357:N357"/>
    <mergeCell ref="Q356:R356"/>
    <mergeCell ref="S356:AB356"/>
    <mergeCell ref="C363:E363"/>
    <mergeCell ref="F363:I363"/>
    <mergeCell ref="J363:P363"/>
    <mergeCell ref="Q363:W363"/>
    <mergeCell ref="Q359:R359"/>
    <mergeCell ref="S359:AB359"/>
    <mergeCell ref="C358:D358"/>
    <mergeCell ref="E358:N358"/>
    <mergeCell ref="Q357:R357"/>
    <mergeCell ref="S357:AB357"/>
    <mergeCell ref="X363:AD363"/>
    <mergeCell ref="AE363:AH363"/>
    <mergeCell ref="AI363:AP363"/>
    <mergeCell ref="AE357:AF357"/>
    <mergeCell ref="AG357:AP357"/>
    <mergeCell ref="AE358:AF358"/>
    <mergeCell ref="AG358:AP358"/>
    <mergeCell ref="AE359:AF359"/>
    <mergeCell ref="AG359:AP359"/>
    <mergeCell ref="AP352:AQ353"/>
    <mergeCell ref="AD349:AM349"/>
    <mergeCell ref="D350:I350"/>
    <mergeCell ref="J350:Q350"/>
    <mergeCell ref="R350:Z350"/>
    <mergeCell ref="AA350:AC350"/>
    <mergeCell ref="AD350:AM350"/>
    <mergeCell ref="D349:I349"/>
    <mergeCell ref="J349:Q349"/>
    <mergeCell ref="R349:Z349"/>
    <mergeCell ref="G354:O354"/>
    <mergeCell ref="P354:S354"/>
    <mergeCell ref="T354:AB354"/>
    <mergeCell ref="B352:AB353"/>
    <mergeCell ref="AC352:AJ353"/>
    <mergeCell ref="AK352:AO353"/>
    <mergeCell ref="AC354:AF354"/>
    <mergeCell ref="AG354:AL354"/>
    <mergeCell ref="AM354:AO354"/>
    <mergeCell ref="AA347:AC347"/>
    <mergeCell ref="AI342:AP343"/>
    <mergeCell ref="B344:B345"/>
    <mergeCell ref="C344:E345"/>
    <mergeCell ref="F344:I345"/>
    <mergeCell ref="J344:P345"/>
    <mergeCell ref="Q344:R345"/>
    <mergeCell ref="V344:W345"/>
    <mergeCell ref="X344:AD345"/>
    <mergeCell ref="AE344:AH345"/>
    <mergeCell ref="AA349:AC349"/>
    <mergeCell ref="AD347:AM347"/>
    <mergeCell ref="D348:I348"/>
    <mergeCell ref="J348:Q348"/>
    <mergeCell ref="R348:Z348"/>
    <mergeCell ref="AA348:AC348"/>
    <mergeCell ref="AD348:AM348"/>
    <mergeCell ref="D347:I347"/>
    <mergeCell ref="J347:Q347"/>
    <mergeCell ref="R347:Z347"/>
    <mergeCell ref="B340:B341"/>
    <mergeCell ref="C340:E341"/>
    <mergeCell ref="F340:I341"/>
    <mergeCell ref="J340:P341"/>
    <mergeCell ref="Q340:R341"/>
    <mergeCell ref="V340:W341"/>
    <mergeCell ref="X340:AD341"/>
    <mergeCell ref="AE340:AH341"/>
    <mergeCell ref="AI340:AP341"/>
    <mergeCell ref="AI344:AP345"/>
    <mergeCell ref="Q342:R343"/>
    <mergeCell ref="V342:W343"/>
    <mergeCell ref="X342:AD343"/>
    <mergeCell ref="AE342:AH343"/>
    <mergeCell ref="B342:B343"/>
    <mergeCell ref="C342:E343"/>
    <mergeCell ref="F342:I343"/>
    <mergeCell ref="J342:P343"/>
    <mergeCell ref="B336:B337"/>
    <mergeCell ref="C336:E337"/>
    <mergeCell ref="F336:I337"/>
    <mergeCell ref="J336:P337"/>
    <mergeCell ref="Q336:R337"/>
    <mergeCell ref="V336:W337"/>
    <mergeCell ref="X336:AD337"/>
    <mergeCell ref="AE336:AH337"/>
    <mergeCell ref="AI336:AP337"/>
    <mergeCell ref="Q338:R339"/>
    <mergeCell ref="V338:W339"/>
    <mergeCell ref="X338:AD339"/>
    <mergeCell ref="AE338:AH339"/>
    <mergeCell ref="B338:B339"/>
    <mergeCell ref="C338:E339"/>
    <mergeCell ref="F338:I339"/>
    <mergeCell ref="J338:P339"/>
    <mergeCell ref="AI338:AP339"/>
    <mergeCell ref="B332:B333"/>
    <mergeCell ref="C332:E333"/>
    <mergeCell ref="F332:I333"/>
    <mergeCell ref="J332:P333"/>
    <mergeCell ref="Q332:R333"/>
    <mergeCell ref="V332:W333"/>
    <mergeCell ref="X332:AD333"/>
    <mergeCell ref="AE332:AH333"/>
    <mergeCell ref="AI332:AP333"/>
    <mergeCell ref="B334:B335"/>
    <mergeCell ref="C334:E335"/>
    <mergeCell ref="F334:I335"/>
    <mergeCell ref="J334:P335"/>
    <mergeCell ref="Q334:R335"/>
    <mergeCell ref="V334:W335"/>
    <mergeCell ref="X334:AD335"/>
    <mergeCell ref="AE334:AH335"/>
    <mergeCell ref="AI334:AP335"/>
    <mergeCell ref="C324:D324"/>
    <mergeCell ref="E324:N324"/>
    <mergeCell ref="C327:D327"/>
    <mergeCell ref="E327:N327"/>
    <mergeCell ref="Q326:R326"/>
    <mergeCell ref="S326:AB326"/>
    <mergeCell ref="C322:F322"/>
    <mergeCell ref="AE324:AF324"/>
    <mergeCell ref="AG324:AP324"/>
    <mergeCell ref="C325:D325"/>
    <mergeCell ref="E325:N325"/>
    <mergeCell ref="Q324:R324"/>
    <mergeCell ref="S324:AB324"/>
    <mergeCell ref="C331:E331"/>
    <mergeCell ref="F331:I331"/>
    <mergeCell ref="J331:P331"/>
    <mergeCell ref="Q331:W331"/>
    <mergeCell ref="Q327:R327"/>
    <mergeCell ref="S327:AB327"/>
    <mergeCell ref="C326:D326"/>
    <mergeCell ref="E326:N326"/>
    <mergeCell ref="Q325:R325"/>
    <mergeCell ref="S325:AB325"/>
    <mergeCell ref="X331:AD331"/>
    <mergeCell ref="AE331:AH331"/>
    <mergeCell ref="AI331:AP331"/>
    <mergeCell ref="AE325:AF325"/>
    <mergeCell ref="AG325:AP325"/>
    <mergeCell ref="AE326:AF326"/>
    <mergeCell ref="AG326:AP326"/>
    <mergeCell ref="AE327:AF327"/>
    <mergeCell ref="AG327:AP327"/>
    <mergeCell ref="AP320:AQ321"/>
    <mergeCell ref="AD317:AM317"/>
    <mergeCell ref="D318:I318"/>
    <mergeCell ref="J318:Q318"/>
    <mergeCell ref="R318:Z318"/>
    <mergeCell ref="AA318:AC318"/>
    <mergeCell ref="AD318:AM318"/>
    <mergeCell ref="D317:I317"/>
    <mergeCell ref="J317:Q317"/>
    <mergeCell ref="R317:Z317"/>
    <mergeCell ref="G322:O322"/>
    <mergeCell ref="P322:S322"/>
    <mergeCell ref="T322:AB322"/>
    <mergeCell ref="B320:AB321"/>
    <mergeCell ref="AC320:AJ321"/>
    <mergeCell ref="AK320:AO321"/>
    <mergeCell ref="AC322:AF322"/>
    <mergeCell ref="AG322:AL322"/>
    <mergeCell ref="AM322:AO322"/>
    <mergeCell ref="AA315:AC315"/>
    <mergeCell ref="AI310:AP311"/>
    <mergeCell ref="B312:B313"/>
    <mergeCell ref="C312:E313"/>
    <mergeCell ref="F312:I313"/>
    <mergeCell ref="J312:P313"/>
    <mergeCell ref="Q312:R313"/>
    <mergeCell ref="V312:W313"/>
    <mergeCell ref="X312:AD313"/>
    <mergeCell ref="AE312:AH313"/>
    <mergeCell ref="AA317:AC317"/>
    <mergeCell ref="AD315:AM315"/>
    <mergeCell ref="D316:I316"/>
    <mergeCell ref="J316:Q316"/>
    <mergeCell ref="R316:Z316"/>
    <mergeCell ref="AA316:AC316"/>
    <mergeCell ref="AD316:AM316"/>
    <mergeCell ref="D315:I315"/>
    <mergeCell ref="J315:Q315"/>
    <mergeCell ref="R315:Z315"/>
    <mergeCell ref="B308:B309"/>
    <mergeCell ref="C308:E309"/>
    <mergeCell ref="F308:I309"/>
    <mergeCell ref="J308:P309"/>
    <mergeCell ref="Q308:R309"/>
    <mergeCell ref="V308:W309"/>
    <mergeCell ref="X308:AD309"/>
    <mergeCell ref="AE308:AH309"/>
    <mergeCell ref="AI308:AP309"/>
    <mergeCell ref="AI312:AP313"/>
    <mergeCell ref="Q310:R311"/>
    <mergeCell ref="V310:W311"/>
    <mergeCell ref="X310:AD311"/>
    <mergeCell ref="AE310:AH311"/>
    <mergeCell ref="B310:B311"/>
    <mergeCell ref="C310:E311"/>
    <mergeCell ref="F310:I311"/>
    <mergeCell ref="J310:P311"/>
    <mergeCell ref="B304:B305"/>
    <mergeCell ref="C304:E305"/>
    <mergeCell ref="F304:I305"/>
    <mergeCell ref="J304:P305"/>
    <mergeCell ref="Q304:R305"/>
    <mergeCell ref="V304:W305"/>
    <mergeCell ref="X304:AD305"/>
    <mergeCell ref="AE304:AH305"/>
    <mergeCell ref="AI304:AP305"/>
    <mergeCell ref="Q306:R307"/>
    <mergeCell ref="V306:W307"/>
    <mergeCell ref="X306:AD307"/>
    <mergeCell ref="AE306:AH307"/>
    <mergeCell ref="B306:B307"/>
    <mergeCell ref="C306:E307"/>
    <mergeCell ref="F306:I307"/>
    <mergeCell ref="J306:P307"/>
    <mergeCell ref="AI306:AP307"/>
    <mergeCell ref="B300:B301"/>
    <mergeCell ref="C300:E301"/>
    <mergeCell ref="F300:I301"/>
    <mergeCell ref="J300:P301"/>
    <mergeCell ref="Q300:R301"/>
    <mergeCell ref="V300:W301"/>
    <mergeCell ref="X300:AD301"/>
    <mergeCell ref="AE300:AH301"/>
    <mergeCell ref="AI300:AP301"/>
    <mergeCell ref="B302:B303"/>
    <mergeCell ref="C302:E303"/>
    <mergeCell ref="F302:I303"/>
    <mergeCell ref="J302:P303"/>
    <mergeCell ref="Q302:R303"/>
    <mergeCell ref="V302:W303"/>
    <mergeCell ref="X302:AD303"/>
    <mergeCell ref="AE302:AH303"/>
    <mergeCell ref="AI302:AP303"/>
    <mergeCell ref="C292:D292"/>
    <mergeCell ref="E292:N292"/>
    <mergeCell ref="Q292:R292"/>
    <mergeCell ref="S292:AB292"/>
    <mergeCell ref="AE292:AF292"/>
    <mergeCell ref="AG292:AP292"/>
    <mergeCell ref="C290:F290"/>
    <mergeCell ref="AE294:AF294"/>
    <mergeCell ref="AG294:AP294"/>
    <mergeCell ref="C293:D293"/>
    <mergeCell ref="E293:N293"/>
    <mergeCell ref="Q293:R293"/>
    <mergeCell ref="S293:AB293"/>
    <mergeCell ref="C299:E299"/>
    <mergeCell ref="F299:I299"/>
    <mergeCell ref="J299:P299"/>
    <mergeCell ref="Q299:W299"/>
    <mergeCell ref="AE293:AF293"/>
    <mergeCell ref="AG293:AP293"/>
    <mergeCell ref="C294:D294"/>
    <mergeCell ref="E294:N294"/>
    <mergeCell ref="Q294:R294"/>
    <mergeCell ref="S294:AB294"/>
    <mergeCell ref="X299:AD299"/>
    <mergeCell ref="AE299:AH299"/>
    <mergeCell ref="AI299:AP299"/>
    <mergeCell ref="AP288:AQ289"/>
    <mergeCell ref="AD285:AM285"/>
    <mergeCell ref="D286:I286"/>
    <mergeCell ref="J286:Q286"/>
    <mergeCell ref="R286:Z286"/>
    <mergeCell ref="AA286:AC286"/>
    <mergeCell ref="AD286:AM286"/>
    <mergeCell ref="D285:I285"/>
    <mergeCell ref="J285:Q285"/>
    <mergeCell ref="R285:Z285"/>
    <mergeCell ref="G290:O290"/>
    <mergeCell ref="P290:S290"/>
    <mergeCell ref="T290:AB290"/>
    <mergeCell ref="B288:AB289"/>
    <mergeCell ref="AC288:AJ289"/>
    <mergeCell ref="AK288:AO289"/>
    <mergeCell ref="AC290:AF290"/>
    <mergeCell ref="AG290:AL290"/>
    <mergeCell ref="AM290:AO290"/>
    <mergeCell ref="AA283:AC283"/>
    <mergeCell ref="AI278:AP279"/>
    <mergeCell ref="B280:B281"/>
    <mergeCell ref="C280:E281"/>
    <mergeCell ref="F280:I281"/>
    <mergeCell ref="J280:P281"/>
    <mergeCell ref="Q280:R281"/>
    <mergeCell ref="V280:W281"/>
    <mergeCell ref="X280:AD281"/>
    <mergeCell ref="AE280:AH281"/>
    <mergeCell ref="AA285:AC285"/>
    <mergeCell ref="AD283:AM283"/>
    <mergeCell ref="D284:I284"/>
    <mergeCell ref="J284:Q284"/>
    <mergeCell ref="R284:Z284"/>
    <mergeCell ref="AA284:AC284"/>
    <mergeCell ref="AD284:AM284"/>
    <mergeCell ref="D283:I283"/>
    <mergeCell ref="J283:Q283"/>
    <mergeCell ref="R283:Z283"/>
    <mergeCell ref="B276:B277"/>
    <mergeCell ref="C276:E277"/>
    <mergeCell ref="F276:I277"/>
    <mergeCell ref="J276:P277"/>
    <mergeCell ref="Q276:R277"/>
    <mergeCell ref="V276:W277"/>
    <mergeCell ref="X276:AD277"/>
    <mergeCell ref="AE276:AH277"/>
    <mergeCell ref="AI276:AP277"/>
    <mergeCell ref="AI280:AP281"/>
    <mergeCell ref="Q278:R279"/>
    <mergeCell ref="V278:W279"/>
    <mergeCell ref="X278:AD279"/>
    <mergeCell ref="AE278:AH279"/>
    <mergeCell ref="B278:B279"/>
    <mergeCell ref="C278:E279"/>
    <mergeCell ref="F278:I279"/>
    <mergeCell ref="J278:P279"/>
    <mergeCell ref="B272:B273"/>
    <mergeCell ref="C272:E273"/>
    <mergeCell ref="F272:I273"/>
    <mergeCell ref="J272:P273"/>
    <mergeCell ref="Q272:R273"/>
    <mergeCell ref="V272:W273"/>
    <mergeCell ref="X272:AD273"/>
    <mergeCell ref="AE272:AH273"/>
    <mergeCell ref="AI272:AP273"/>
    <mergeCell ref="Q274:R275"/>
    <mergeCell ref="V274:W275"/>
    <mergeCell ref="X274:AD275"/>
    <mergeCell ref="AE274:AH275"/>
    <mergeCell ref="B274:B275"/>
    <mergeCell ref="C274:E275"/>
    <mergeCell ref="F274:I275"/>
    <mergeCell ref="J274:P275"/>
    <mergeCell ref="AI274:AP275"/>
    <mergeCell ref="B268:B269"/>
    <mergeCell ref="C268:E269"/>
    <mergeCell ref="F268:I269"/>
    <mergeCell ref="J268:P269"/>
    <mergeCell ref="Q268:R269"/>
    <mergeCell ref="V268:W269"/>
    <mergeCell ref="X268:AD269"/>
    <mergeCell ref="AE268:AH269"/>
    <mergeCell ref="AI268:AP269"/>
    <mergeCell ref="B270:B271"/>
    <mergeCell ref="C270:E271"/>
    <mergeCell ref="F270:I271"/>
    <mergeCell ref="J270:P271"/>
    <mergeCell ref="Q270:R271"/>
    <mergeCell ref="V270:W271"/>
    <mergeCell ref="X270:AD271"/>
    <mergeCell ref="AE270:AH271"/>
    <mergeCell ref="AI270:AP271"/>
    <mergeCell ref="C260:D260"/>
    <mergeCell ref="E260:N260"/>
    <mergeCell ref="Q260:R260"/>
    <mergeCell ref="S260:AB260"/>
    <mergeCell ref="AE260:AF260"/>
    <mergeCell ref="AG260:AP260"/>
    <mergeCell ref="C258:F258"/>
    <mergeCell ref="AE262:AF262"/>
    <mergeCell ref="AG262:AP262"/>
    <mergeCell ref="C261:D261"/>
    <mergeCell ref="E261:N261"/>
    <mergeCell ref="Q261:R261"/>
    <mergeCell ref="S261:AB261"/>
    <mergeCell ref="C267:E267"/>
    <mergeCell ref="F267:I267"/>
    <mergeCell ref="J267:P267"/>
    <mergeCell ref="Q267:W267"/>
    <mergeCell ref="AE261:AF261"/>
    <mergeCell ref="AG261:AP261"/>
    <mergeCell ref="C262:D262"/>
    <mergeCell ref="E262:N262"/>
    <mergeCell ref="Q262:R262"/>
    <mergeCell ref="S262:AB262"/>
    <mergeCell ref="X267:AD267"/>
    <mergeCell ref="AE267:AH267"/>
    <mergeCell ref="AI267:AP267"/>
    <mergeCell ref="AP256:AQ257"/>
    <mergeCell ref="AD253:AM253"/>
    <mergeCell ref="D254:I254"/>
    <mergeCell ref="J254:Q254"/>
    <mergeCell ref="R254:Z254"/>
    <mergeCell ref="AA254:AC254"/>
    <mergeCell ref="AD254:AM254"/>
    <mergeCell ref="D253:I253"/>
    <mergeCell ref="J253:Q253"/>
    <mergeCell ref="R253:Z253"/>
    <mergeCell ref="G258:O258"/>
    <mergeCell ref="P258:S258"/>
    <mergeCell ref="T258:AB258"/>
    <mergeCell ref="B256:AB257"/>
    <mergeCell ref="AC256:AJ257"/>
    <mergeCell ref="AK256:AO257"/>
    <mergeCell ref="AC258:AF258"/>
    <mergeCell ref="AG258:AL258"/>
    <mergeCell ref="AM258:AO258"/>
    <mergeCell ref="AA251:AC251"/>
    <mergeCell ref="AI246:AP247"/>
    <mergeCell ref="B248:B249"/>
    <mergeCell ref="C248:E249"/>
    <mergeCell ref="F248:I249"/>
    <mergeCell ref="J248:P249"/>
    <mergeCell ref="Q248:R249"/>
    <mergeCell ref="V248:W249"/>
    <mergeCell ref="X248:AD249"/>
    <mergeCell ref="AE248:AH249"/>
    <mergeCell ref="AA253:AC253"/>
    <mergeCell ref="AD251:AM251"/>
    <mergeCell ref="D252:I252"/>
    <mergeCell ref="J252:Q252"/>
    <mergeCell ref="R252:Z252"/>
    <mergeCell ref="AA252:AC252"/>
    <mergeCell ref="AD252:AM252"/>
    <mergeCell ref="D251:I251"/>
    <mergeCell ref="J251:Q251"/>
    <mergeCell ref="R251:Z251"/>
    <mergeCell ref="B244:B245"/>
    <mergeCell ref="C244:E245"/>
    <mergeCell ref="F244:I245"/>
    <mergeCell ref="J244:P245"/>
    <mergeCell ref="Q244:R245"/>
    <mergeCell ref="V244:W245"/>
    <mergeCell ref="X244:AD245"/>
    <mergeCell ref="AE244:AH245"/>
    <mergeCell ref="AI244:AP245"/>
    <mergeCell ref="AI248:AP249"/>
    <mergeCell ref="Q246:R247"/>
    <mergeCell ref="V246:W247"/>
    <mergeCell ref="X246:AD247"/>
    <mergeCell ref="AE246:AH247"/>
    <mergeCell ref="B246:B247"/>
    <mergeCell ref="C246:E247"/>
    <mergeCell ref="F246:I247"/>
    <mergeCell ref="J246:P247"/>
    <mergeCell ref="B240:B241"/>
    <mergeCell ref="C240:E241"/>
    <mergeCell ref="F240:I241"/>
    <mergeCell ref="J240:P241"/>
    <mergeCell ref="Q240:R241"/>
    <mergeCell ref="V240:W241"/>
    <mergeCell ref="X240:AD241"/>
    <mergeCell ref="AE240:AH241"/>
    <mergeCell ref="AI240:AP241"/>
    <mergeCell ref="Q242:R243"/>
    <mergeCell ref="V242:W243"/>
    <mergeCell ref="X242:AD243"/>
    <mergeCell ref="AE242:AH243"/>
    <mergeCell ref="B242:B243"/>
    <mergeCell ref="C242:E243"/>
    <mergeCell ref="F242:I243"/>
    <mergeCell ref="J242:P243"/>
    <mergeCell ref="AI242:AP243"/>
    <mergeCell ref="B236:B237"/>
    <mergeCell ref="C236:E237"/>
    <mergeCell ref="F236:I237"/>
    <mergeCell ref="J236:P237"/>
    <mergeCell ref="Q236:R237"/>
    <mergeCell ref="V236:W237"/>
    <mergeCell ref="X236:AD237"/>
    <mergeCell ref="AE236:AH237"/>
    <mergeCell ref="AI236:AP237"/>
    <mergeCell ref="B238:B239"/>
    <mergeCell ref="C238:E239"/>
    <mergeCell ref="F238:I239"/>
    <mergeCell ref="J238:P239"/>
    <mergeCell ref="Q238:R239"/>
    <mergeCell ref="V238:W239"/>
    <mergeCell ref="X238:AD239"/>
    <mergeCell ref="AE238:AH239"/>
    <mergeCell ref="AI238:AP239"/>
    <mergeCell ref="C228:D228"/>
    <mergeCell ref="E228:N228"/>
    <mergeCell ref="Q228:R228"/>
    <mergeCell ref="S228:AB228"/>
    <mergeCell ref="AE228:AF228"/>
    <mergeCell ref="AG228:AP228"/>
    <mergeCell ref="C226:F226"/>
    <mergeCell ref="AE230:AF230"/>
    <mergeCell ref="AG230:AP230"/>
    <mergeCell ref="C229:D229"/>
    <mergeCell ref="E229:N229"/>
    <mergeCell ref="Q229:R229"/>
    <mergeCell ref="S229:AB229"/>
    <mergeCell ref="C235:E235"/>
    <mergeCell ref="F235:I235"/>
    <mergeCell ref="J235:P235"/>
    <mergeCell ref="Q235:W235"/>
    <mergeCell ref="AE229:AF229"/>
    <mergeCell ref="AG229:AP229"/>
    <mergeCell ref="C230:D230"/>
    <mergeCell ref="E230:N230"/>
    <mergeCell ref="Q230:R230"/>
    <mergeCell ref="S230:AB230"/>
    <mergeCell ref="X235:AD235"/>
    <mergeCell ref="AE235:AH235"/>
    <mergeCell ref="AI235:AP235"/>
    <mergeCell ref="AP224:AQ225"/>
    <mergeCell ref="AD221:AM221"/>
    <mergeCell ref="D222:I222"/>
    <mergeCell ref="J222:Q222"/>
    <mergeCell ref="R222:Z222"/>
    <mergeCell ref="AA222:AC222"/>
    <mergeCell ref="AD222:AM222"/>
    <mergeCell ref="D221:I221"/>
    <mergeCell ref="J221:Q221"/>
    <mergeCell ref="R221:Z221"/>
    <mergeCell ref="G226:O226"/>
    <mergeCell ref="P226:S226"/>
    <mergeCell ref="T226:AB226"/>
    <mergeCell ref="B224:AB225"/>
    <mergeCell ref="AC224:AJ225"/>
    <mergeCell ref="AK224:AO225"/>
    <mergeCell ref="AC226:AF226"/>
    <mergeCell ref="AG226:AL226"/>
    <mergeCell ref="AM226:AO226"/>
    <mergeCell ref="AA219:AC219"/>
    <mergeCell ref="AI214:AP215"/>
    <mergeCell ref="B216:B217"/>
    <mergeCell ref="C216:E217"/>
    <mergeCell ref="F216:I217"/>
    <mergeCell ref="J216:P217"/>
    <mergeCell ref="Q216:R217"/>
    <mergeCell ref="V216:W217"/>
    <mergeCell ref="X216:AD217"/>
    <mergeCell ref="AE216:AH217"/>
    <mergeCell ref="AA221:AC221"/>
    <mergeCell ref="AD219:AM219"/>
    <mergeCell ref="D220:I220"/>
    <mergeCell ref="J220:Q220"/>
    <mergeCell ref="R220:Z220"/>
    <mergeCell ref="AA220:AC220"/>
    <mergeCell ref="AD220:AM220"/>
    <mergeCell ref="D219:I219"/>
    <mergeCell ref="J219:Q219"/>
    <mergeCell ref="R219:Z219"/>
    <mergeCell ref="B212:B213"/>
    <mergeCell ref="C212:E213"/>
    <mergeCell ref="F212:I213"/>
    <mergeCell ref="J212:P213"/>
    <mergeCell ref="Q212:R213"/>
    <mergeCell ref="V212:W213"/>
    <mergeCell ref="X212:AD213"/>
    <mergeCell ref="AE212:AH213"/>
    <mergeCell ref="AI212:AP213"/>
    <mergeCell ref="AI216:AP217"/>
    <mergeCell ref="Q214:R215"/>
    <mergeCell ref="V214:W215"/>
    <mergeCell ref="X214:AD215"/>
    <mergeCell ref="AE214:AH215"/>
    <mergeCell ref="B214:B215"/>
    <mergeCell ref="C214:E215"/>
    <mergeCell ref="F214:I215"/>
    <mergeCell ref="J214:P215"/>
    <mergeCell ref="B208:B209"/>
    <mergeCell ref="C208:E209"/>
    <mergeCell ref="F208:I209"/>
    <mergeCell ref="J208:P209"/>
    <mergeCell ref="Q208:R209"/>
    <mergeCell ref="V208:W209"/>
    <mergeCell ref="X208:AD209"/>
    <mergeCell ref="AE208:AH209"/>
    <mergeCell ref="AI208:AP209"/>
    <mergeCell ref="Q210:R211"/>
    <mergeCell ref="V210:W211"/>
    <mergeCell ref="X210:AD211"/>
    <mergeCell ref="AE210:AH211"/>
    <mergeCell ref="B210:B211"/>
    <mergeCell ref="C210:E211"/>
    <mergeCell ref="F210:I211"/>
    <mergeCell ref="J210:P211"/>
    <mergeCell ref="AI210:AP211"/>
    <mergeCell ref="B204:B205"/>
    <mergeCell ref="C204:E205"/>
    <mergeCell ref="F204:I205"/>
    <mergeCell ref="J204:P205"/>
    <mergeCell ref="Q204:R205"/>
    <mergeCell ref="V204:W205"/>
    <mergeCell ref="X204:AD205"/>
    <mergeCell ref="AE204:AH205"/>
    <mergeCell ref="AI204:AP205"/>
    <mergeCell ref="B206:B207"/>
    <mergeCell ref="C206:E207"/>
    <mergeCell ref="F206:I207"/>
    <mergeCell ref="J206:P207"/>
    <mergeCell ref="Q206:R207"/>
    <mergeCell ref="V206:W207"/>
    <mergeCell ref="X206:AD207"/>
    <mergeCell ref="AE206:AH207"/>
    <mergeCell ref="AI206:AP207"/>
    <mergeCell ref="C196:D196"/>
    <mergeCell ref="E196:N196"/>
    <mergeCell ref="C199:D199"/>
    <mergeCell ref="E199:N199"/>
    <mergeCell ref="Q198:R198"/>
    <mergeCell ref="S198:AB198"/>
    <mergeCell ref="C194:F194"/>
    <mergeCell ref="AE196:AF196"/>
    <mergeCell ref="AG196:AP196"/>
    <mergeCell ref="C197:D197"/>
    <mergeCell ref="E197:N197"/>
    <mergeCell ref="Q196:R196"/>
    <mergeCell ref="S196:AB196"/>
    <mergeCell ref="C203:E203"/>
    <mergeCell ref="F203:I203"/>
    <mergeCell ref="J203:P203"/>
    <mergeCell ref="Q203:W203"/>
    <mergeCell ref="Q199:R199"/>
    <mergeCell ref="S199:AB199"/>
    <mergeCell ref="C198:D198"/>
    <mergeCell ref="E198:N198"/>
    <mergeCell ref="Q197:R197"/>
    <mergeCell ref="S197:AB197"/>
    <mergeCell ref="X203:AD203"/>
    <mergeCell ref="AE203:AH203"/>
    <mergeCell ref="AI203:AP203"/>
    <mergeCell ref="AE197:AF197"/>
    <mergeCell ref="AG197:AP197"/>
    <mergeCell ref="AE198:AF198"/>
    <mergeCell ref="AG198:AP198"/>
    <mergeCell ref="AE199:AF199"/>
    <mergeCell ref="AG199:AP199"/>
    <mergeCell ref="AP192:AQ193"/>
    <mergeCell ref="AD189:AM189"/>
    <mergeCell ref="D190:I190"/>
    <mergeCell ref="J190:Q190"/>
    <mergeCell ref="R190:Z190"/>
    <mergeCell ref="AA190:AC190"/>
    <mergeCell ref="AD190:AM190"/>
    <mergeCell ref="D189:I189"/>
    <mergeCell ref="J189:Q189"/>
    <mergeCell ref="R189:Z189"/>
    <mergeCell ref="G194:O194"/>
    <mergeCell ref="P194:S194"/>
    <mergeCell ref="T194:AB194"/>
    <mergeCell ref="B192:AB193"/>
    <mergeCell ref="AC192:AJ193"/>
    <mergeCell ref="AK192:AO193"/>
    <mergeCell ref="AC194:AF194"/>
    <mergeCell ref="AG194:AL194"/>
    <mergeCell ref="AM194:AO194"/>
    <mergeCell ref="AA187:AC187"/>
    <mergeCell ref="AI182:AP183"/>
    <mergeCell ref="B184:B185"/>
    <mergeCell ref="C184:E185"/>
    <mergeCell ref="F184:I185"/>
    <mergeCell ref="J184:P185"/>
    <mergeCell ref="Q184:R185"/>
    <mergeCell ref="V184:W185"/>
    <mergeCell ref="X184:AD185"/>
    <mergeCell ref="AE184:AH185"/>
    <mergeCell ref="AA189:AC189"/>
    <mergeCell ref="AD187:AM187"/>
    <mergeCell ref="D188:I188"/>
    <mergeCell ref="J188:Q188"/>
    <mergeCell ref="R188:Z188"/>
    <mergeCell ref="AA188:AC188"/>
    <mergeCell ref="AD188:AM188"/>
    <mergeCell ref="D187:I187"/>
    <mergeCell ref="J187:Q187"/>
    <mergeCell ref="R187:Z187"/>
    <mergeCell ref="B180:B181"/>
    <mergeCell ref="C180:E181"/>
    <mergeCell ref="F180:I181"/>
    <mergeCell ref="J180:P181"/>
    <mergeCell ref="Q180:R181"/>
    <mergeCell ref="V180:W181"/>
    <mergeCell ref="X180:AD181"/>
    <mergeCell ref="AE180:AH181"/>
    <mergeCell ref="AI180:AP181"/>
    <mergeCell ref="AI184:AP185"/>
    <mergeCell ref="Q182:R183"/>
    <mergeCell ref="V182:W183"/>
    <mergeCell ref="X182:AD183"/>
    <mergeCell ref="AE182:AH183"/>
    <mergeCell ref="B182:B183"/>
    <mergeCell ref="C182:E183"/>
    <mergeCell ref="F182:I183"/>
    <mergeCell ref="J182:P183"/>
    <mergeCell ref="B176:B177"/>
    <mergeCell ref="C176:E177"/>
    <mergeCell ref="F176:I177"/>
    <mergeCell ref="J176:P177"/>
    <mergeCell ref="Q176:R177"/>
    <mergeCell ref="V176:W177"/>
    <mergeCell ref="X176:AD177"/>
    <mergeCell ref="AE176:AH177"/>
    <mergeCell ref="AI176:AP177"/>
    <mergeCell ref="Q178:R179"/>
    <mergeCell ref="V178:W179"/>
    <mergeCell ref="X178:AD179"/>
    <mergeCell ref="AE178:AH179"/>
    <mergeCell ref="B178:B179"/>
    <mergeCell ref="C178:E179"/>
    <mergeCell ref="F178:I179"/>
    <mergeCell ref="J178:P179"/>
    <mergeCell ref="AI178:AP179"/>
    <mergeCell ref="B172:B173"/>
    <mergeCell ref="C172:E173"/>
    <mergeCell ref="F172:I173"/>
    <mergeCell ref="J172:P173"/>
    <mergeCell ref="Q172:R173"/>
    <mergeCell ref="V172:W173"/>
    <mergeCell ref="X172:AD173"/>
    <mergeCell ref="AE172:AH173"/>
    <mergeCell ref="AI172:AP173"/>
    <mergeCell ref="B174:B175"/>
    <mergeCell ref="C174:E175"/>
    <mergeCell ref="F174:I175"/>
    <mergeCell ref="J174:P175"/>
    <mergeCell ref="Q174:R175"/>
    <mergeCell ref="V174:W175"/>
    <mergeCell ref="X174:AD175"/>
    <mergeCell ref="AE174:AH175"/>
    <mergeCell ref="AI174:AP175"/>
    <mergeCell ref="C164:D164"/>
    <mergeCell ref="E164:N164"/>
    <mergeCell ref="Q164:R164"/>
    <mergeCell ref="S164:AB164"/>
    <mergeCell ref="AE164:AF164"/>
    <mergeCell ref="AG164:AP164"/>
    <mergeCell ref="C162:F162"/>
    <mergeCell ref="AE166:AF166"/>
    <mergeCell ref="AG166:AP166"/>
    <mergeCell ref="C165:D165"/>
    <mergeCell ref="E165:N165"/>
    <mergeCell ref="Q165:R165"/>
    <mergeCell ref="S165:AB165"/>
    <mergeCell ref="C171:E171"/>
    <mergeCell ref="F171:I171"/>
    <mergeCell ref="J171:P171"/>
    <mergeCell ref="Q171:W171"/>
    <mergeCell ref="AE165:AF165"/>
    <mergeCell ref="AG165:AP165"/>
    <mergeCell ref="C166:D166"/>
    <mergeCell ref="E166:N166"/>
    <mergeCell ref="Q166:R166"/>
    <mergeCell ref="S166:AB166"/>
    <mergeCell ref="X171:AD171"/>
    <mergeCell ref="AE171:AH171"/>
    <mergeCell ref="AI171:AP171"/>
    <mergeCell ref="AP160:AQ161"/>
    <mergeCell ref="AD157:AM157"/>
    <mergeCell ref="D158:I158"/>
    <mergeCell ref="J158:Q158"/>
    <mergeCell ref="R158:Z158"/>
    <mergeCell ref="AA158:AC158"/>
    <mergeCell ref="AD158:AM158"/>
    <mergeCell ref="D157:I157"/>
    <mergeCell ref="J157:Q157"/>
    <mergeCell ref="R157:Z157"/>
    <mergeCell ref="G162:O162"/>
    <mergeCell ref="P162:S162"/>
    <mergeCell ref="T162:AB162"/>
    <mergeCell ref="B160:AB161"/>
    <mergeCell ref="AC160:AJ161"/>
    <mergeCell ref="AK160:AO161"/>
    <mergeCell ref="AC162:AF162"/>
    <mergeCell ref="AG162:AL162"/>
    <mergeCell ref="AM162:AO162"/>
    <mergeCell ref="AA155:AC155"/>
    <mergeCell ref="AI150:AP151"/>
    <mergeCell ref="B152:B153"/>
    <mergeCell ref="C152:E153"/>
    <mergeCell ref="F152:I153"/>
    <mergeCell ref="J152:P153"/>
    <mergeCell ref="Q152:R153"/>
    <mergeCell ref="V152:W153"/>
    <mergeCell ref="X152:AD153"/>
    <mergeCell ref="AE152:AH153"/>
    <mergeCell ref="AA157:AC157"/>
    <mergeCell ref="AD155:AM155"/>
    <mergeCell ref="D156:I156"/>
    <mergeCell ref="J156:Q156"/>
    <mergeCell ref="R156:Z156"/>
    <mergeCell ref="AA156:AC156"/>
    <mergeCell ref="AD156:AM156"/>
    <mergeCell ref="D155:I155"/>
    <mergeCell ref="J155:Q155"/>
    <mergeCell ref="R155:Z155"/>
    <mergeCell ref="B148:B149"/>
    <mergeCell ref="C148:E149"/>
    <mergeCell ref="F148:I149"/>
    <mergeCell ref="J148:P149"/>
    <mergeCell ref="Q148:R149"/>
    <mergeCell ref="V148:W149"/>
    <mergeCell ref="X148:AD149"/>
    <mergeCell ref="AE148:AH149"/>
    <mergeCell ref="AI148:AP149"/>
    <mergeCell ref="AI152:AP153"/>
    <mergeCell ref="Q150:R151"/>
    <mergeCell ref="V150:W151"/>
    <mergeCell ref="X150:AD151"/>
    <mergeCell ref="AE150:AH151"/>
    <mergeCell ref="B150:B151"/>
    <mergeCell ref="C150:E151"/>
    <mergeCell ref="F150:I151"/>
    <mergeCell ref="J150:P151"/>
    <mergeCell ref="B144:B145"/>
    <mergeCell ref="C144:E145"/>
    <mergeCell ref="F144:I145"/>
    <mergeCell ref="J144:P145"/>
    <mergeCell ref="Q144:R145"/>
    <mergeCell ref="V144:W145"/>
    <mergeCell ref="X144:AD145"/>
    <mergeCell ref="AE144:AH145"/>
    <mergeCell ref="AI144:AP145"/>
    <mergeCell ref="Q146:R147"/>
    <mergeCell ref="V146:W147"/>
    <mergeCell ref="X146:AD147"/>
    <mergeCell ref="AE146:AH147"/>
    <mergeCell ref="B146:B147"/>
    <mergeCell ref="C146:E147"/>
    <mergeCell ref="F146:I147"/>
    <mergeCell ref="J146:P147"/>
    <mergeCell ref="AI146:AP147"/>
    <mergeCell ref="B140:B141"/>
    <mergeCell ref="C140:E141"/>
    <mergeCell ref="F140:I141"/>
    <mergeCell ref="J140:P141"/>
    <mergeCell ref="Q140:R141"/>
    <mergeCell ref="V140:W141"/>
    <mergeCell ref="X140:AD141"/>
    <mergeCell ref="AE140:AH141"/>
    <mergeCell ref="AI140:AP141"/>
    <mergeCell ref="B142:B143"/>
    <mergeCell ref="C142:E143"/>
    <mergeCell ref="F142:I143"/>
    <mergeCell ref="J142:P143"/>
    <mergeCell ref="Q142:R143"/>
    <mergeCell ref="V142:W143"/>
    <mergeCell ref="X142:AD143"/>
    <mergeCell ref="AE142:AH143"/>
    <mergeCell ref="AI142:AP143"/>
    <mergeCell ref="C132:D132"/>
    <mergeCell ref="E132:N132"/>
    <mergeCell ref="Q132:R132"/>
    <mergeCell ref="S132:AB132"/>
    <mergeCell ref="AE132:AF132"/>
    <mergeCell ref="AG132:AP132"/>
    <mergeCell ref="C130:F130"/>
    <mergeCell ref="AE134:AF134"/>
    <mergeCell ref="AG134:AP134"/>
    <mergeCell ref="C133:D133"/>
    <mergeCell ref="E133:N133"/>
    <mergeCell ref="Q133:R133"/>
    <mergeCell ref="S133:AB133"/>
    <mergeCell ref="C139:E139"/>
    <mergeCell ref="F139:I139"/>
    <mergeCell ref="J139:P139"/>
    <mergeCell ref="Q139:W139"/>
    <mergeCell ref="AE133:AF133"/>
    <mergeCell ref="AG133:AP133"/>
    <mergeCell ref="C134:D134"/>
    <mergeCell ref="E134:N134"/>
    <mergeCell ref="Q134:R134"/>
    <mergeCell ref="S134:AB134"/>
    <mergeCell ref="X139:AD139"/>
    <mergeCell ref="AE139:AH139"/>
    <mergeCell ref="AI139:AP139"/>
    <mergeCell ref="AP128:AQ129"/>
    <mergeCell ref="AD125:AM125"/>
    <mergeCell ref="D126:I126"/>
    <mergeCell ref="J126:Q126"/>
    <mergeCell ref="R126:Z126"/>
    <mergeCell ref="AA126:AC126"/>
    <mergeCell ref="AD126:AM126"/>
    <mergeCell ref="D125:I125"/>
    <mergeCell ref="J125:Q125"/>
    <mergeCell ref="R125:Z125"/>
    <mergeCell ref="G130:O130"/>
    <mergeCell ref="P130:S130"/>
    <mergeCell ref="T130:AB130"/>
    <mergeCell ref="B128:AB129"/>
    <mergeCell ref="AC128:AJ129"/>
    <mergeCell ref="AK128:AO129"/>
    <mergeCell ref="AC130:AF130"/>
    <mergeCell ref="AG130:AL130"/>
    <mergeCell ref="AM130:AO130"/>
    <mergeCell ref="AA123:AC123"/>
    <mergeCell ref="AI118:AP119"/>
    <mergeCell ref="B120:B121"/>
    <mergeCell ref="C120:E121"/>
    <mergeCell ref="F120:I121"/>
    <mergeCell ref="J120:P121"/>
    <mergeCell ref="Q120:R121"/>
    <mergeCell ref="V120:W121"/>
    <mergeCell ref="X120:AD121"/>
    <mergeCell ref="AE120:AH121"/>
    <mergeCell ref="AA125:AC125"/>
    <mergeCell ref="AD123:AM123"/>
    <mergeCell ref="D124:I124"/>
    <mergeCell ref="J124:Q124"/>
    <mergeCell ref="R124:Z124"/>
    <mergeCell ref="AA124:AC124"/>
    <mergeCell ref="AD124:AM124"/>
    <mergeCell ref="D123:I123"/>
    <mergeCell ref="J123:Q123"/>
    <mergeCell ref="R123:Z123"/>
    <mergeCell ref="B116:B117"/>
    <mergeCell ref="C116:E117"/>
    <mergeCell ref="F116:I117"/>
    <mergeCell ref="J116:P117"/>
    <mergeCell ref="Q116:R117"/>
    <mergeCell ref="V116:W117"/>
    <mergeCell ref="X116:AD117"/>
    <mergeCell ref="AE116:AH117"/>
    <mergeCell ref="AI116:AP117"/>
    <mergeCell ref="AI120:AP121"/>
    <mergeCell ref="Q118:R119"/>
    <mergeCell ref="V118:W119"/>
    <mergeCell ref="X118:AD119"/>
    <mergeCell ref="AE118:AH119"/>
    <mergeCell ref="B118:B119"/>
    <mergeCell ref="C118:E119"/>
    <mergeCell ref="F118:I119"/>
    <mergeCell ref="J118:P119"/>
    <mergeCell ref="B112:B113"/>
    <mergeCell ref="C112:E113"/>
    <mergeCell ref="F112:I113"/>
    <mergeCell ref="J112:P113"/>
    <mergeCell ref="Q112:R113"/>
    <mergeCell ref="V112:W113"/>
    <mergeCell ref="X112:AD113"/>
    <mergeCell ref="AE112:AH113"/>
    <mergeCell ref="AI112:AP113"/>
    <mergeCell ref="Q114:R115"/>
    <mergeCell ref="V114:W115"/>
    <mergeCell ref="X114:AD115"/>
    <mergeCell ref="AE114:AH115"/>
    <mergeCell ref="B114:B115"/>
    <mergeCell ref="C114:E115"/>
    <mergeCell ref="F114:I115"/>
    <mergeCell ref="J114:P115"/>
    <mergeCell ref="AI114:AP115"/>
    <mergeCell ref="B108:B109"/>
    <mergeCell ref="C108:E109"/>
    <mergeCell ref="F108:I109"/>
    <mergeCell ref="J108:P109"/>
    <mergeCell ref="Q108:R109"/>
    <mergeCell ref="V108:W109"/>
    <mergeCell ref="X108:AD109"/>
    <mergeCell ref="AE108:AH109"/>
    <mergeCell ref="AI108:AP109"/>
    <mergeCell ref="B110:B111"/>
    <mergeCell ref="C110:E111"/>
    <mergeCell ref="F110:I111"/>
    <mergeCell ref="J110:P111"/>
    <mergeCell ref="Q110:R111"/>
    <mergeCell ref="V110:W111"/>
    <mergeCell ref="X110:AD111"/>
    <mergeCell ref="AE110:AH111"/>
    <mergeCell ref="AI110:AP111"/>
    <mergeCell ref="C100:D100"/>
    <mergeCell ref="E100:N100"/>
    <mergeCell ref="Q100:R100"/>
    <mergeCell ref="S100:AB100"/>
    <mergeCell ref="AE100:AF100"/>
    <mergeCell ref="AG100:AP100"/>
    <mergeCell ref="C98:F98"/>
    <mergeCell ref="AE102:AF102"/>
    <mergeCell ref="AG102:AP102"/>
    <mergeCell ref="C101:D101"/>
    <mergeCell ref="E101:N101"/>
    <mergeCell ref="Q101:R101"/>
    <mergeCell ref="S101:AB101"/>
    <mergeCell ref="C107:E107"/>
    <mergeCell ref="F107:I107"/>
    <mergeCell ref="J107:P107"/>
    <mergeCell ref="Q107:W107"/>
    <mergeCell ref="AE101:AF101"/>
    <mergeCell ref="AG101:AP101"/>
    <mergeCell ref="C102:D102"/>
    <mergeCell ref="E102:N102"/>
    <mergeCell ref="Q102:R102"/>
    <mergeCell ref="S102:AB102"/>
    <mergeCell ref="X107:AD107"/>
    <mergeCell ref="AE107:AH107"/>
    <mergeCell ref="AI107:AP107"/>
    <mergeCell ref="AP96:AQ97"/>
    <mergeCell ref="B65:AB66"/>
    <mergeCell ref="AC65:AJ66"/>
    <mergeCell ref="AK65:AO66"/>
    <mergeCell ref="AP65:AQ66"/>
    <mergeCell ref="B33:AB34"/>
    <mergeCell ref="AC33:AJ34"/>
    <mergeCell ref="AK33:AO34"/>
    <mergeCell ref="AP33:AQ34"/>
    <mergeCell ref="D93:I93"/>
    <mergeCell ref="G98:O98"/>
    <mergeCell ref="P98:S98"/>
    <mergeCell ref="T98:AB98"/>
    <mergeCell ref="B96:AB97"/>
    <mergeCell ref="AC96:AJ97"/>
    <mergeCell ref="AK96:AO97"/>
    <mergeCell ref="AC98:AF98"/>
    <mergeCell ref="AG98:AL98"/>
    <mergeCell ref="AM98:AO98"/>
    <mergeCell ref="D91:I91"/>
    <mergeCell ref="J91:Q91"/>
    <mergeCell ref="R91:Z91"/>
    <mergeCell ref="AA91:AC91"/>
    <mergeCell ref="X88:AD89"/>
    <mergeCell ref="AD93:AM93"/>
    <mergeCell ref="AE88:AH89"/>
    <mergeCell ref="AI88:AP89"/>
    <mergeCell ref="AD91:AM91"/>
    <mergeCell ref="J93:Q93"/>
    <mergeCell ref="R93:Z93"/>
    <mergeCell ref="AA93:AC93"/>
    <mergeCell ref="D94:I94"/>
    <mergeCell ref="J94:Q94"/>
    <mergeCell ref="R94:Z94"/>
    <mergeCell ref="AA94:AC94"/>
    <mergeCell ref="B1:AB2"/>
    <mergeCell ref="AC1:AJ2"/>
    <mergeCell ref="AK1:AO2"/>
    <mergeCell ref="AP1:AQ2"/>
    <mergeCell ref="AD94:AM94"/>
    <mergeCell ref="D92:I92"/>
    <mergeCell ref="J92:Q92"/>
    <mergeCell ref="R92:Z92"/>
    <mergeCell ref="AA92:AC92"/>
    <mergeCell ref="AD92:AM92"/>
    <mergeCell ref="V82:W83"/>
    <mergeCell ref="X82:AD83"/>
    <mergeCell ref="V84:W85"/>
    <mergeCell ref="B86:B87"/>
    <mergeCell ref="C86:E87"/>
    <mergeCell ref="X84:AD85"/>
    <mergeCell ref="F86:I87"/>
    <mergeCell ref="J86:P87"/>
    <mergeCell ref="X86:AD87"/>
    <mergeCell ref="C84:E85"/>
    <mergeCell ref="F84:I85"/>
    <mergeCell ref="J84:P85"/>
    <mergeCell ref="AE86:AH87"/>
    <mergeCell ref="AI86:AP87"/>
    <mergeCell ref="B88:B89"/>
    <mergeCell ref="C88:E89"/>
    <mergeCell ref="F88:I89"/>
    <mergeCell ref="J88:P89"/>
    <mergeCell ref="Q88:R89"/>
    <mergeCell ref="Q86:R87"/>
    <mergeCell ref="V86:W87"/>
    <mergeCell ref="V88:W89"/>
    <mergeCell ref="B80:B81"/>
    <mergeCell ref="AI75:AP75"/>
    <mergeCell ref="B76:B77"/>
    <mergeCell ref="C76:E77"/>
    <mergeCell ref="F76:I77"/>
    <mergeCell ref="J76:P77"/>
    <mergeCell ref="J80:P81"/>
    <mergeCell ref="AE82:AH83"/>
    <mergeCell ref="Q80:R81"/>
    <mergeCell ref="V80:W81"/>
    <mergeCell ref="X76:AD77"/>
    <mergeCell ref="AE76:AH77"/>
    <mergeCell ref="Q76:R77"/>
    <mergeCell ref="V76:W77"/>
    <mergeCell ref="B84:B85"/>
    <mergeCell ref="AI82:AP83"/>
    <mergeCell ref="X78:AD79"/>
    <mergeCell ref="AE78:AH79"/>
    <mergeCell ref="AI78:AP79"/>
    <mergeCell ref="AE80:AH81"/>
    <mergeCell ref="AI80:AP81"/>
    <mergeCell ref="X80:AD81"/>
    <mergeCell ref="C80:E81"/>
    <mergeCell ref="F80:I81"/>
    <mergeCell ref="Q84:R85"/>
    <mergeCell ref="AE84:AH85"/>
    <mergeCell ref="AI84:AP85"/>
    <mergeCell ref="B82:B83"/>
    <mergeCell ref="C82:E83"/>
    <mergeCell ref="B78:B79"/>
    <mergeCell ref="C78:E79"/>
    <mergeCell ref="F78:I79"/>
    <mergeCell ref="J78:P79"/>
    <mergeCell ref="AG71:AP71"/>
    <mergeCell ref="C75:E75"/>
    <mergeCell ref="F75:I75"/>
    <mergeCell ref="J75:P75"/>
    <mergeCell ref="C71:D71"/>
    <mergeCell ref="E71:N71"/>
    <mergeCell ref="AI76:AP77"/>
    <mergeCell ref="AE75:AH75"/>
    <mergeCell ref="Q78:R79"/>
    <mergeCell ref="V78:W79"/>
    <mergeCell ref="AG69:AP69"/>
    <mergeCell ref="AG67:AL67"/>
    <mergeCell ref="C67:F67"/>
    <mergeCell ref="G67:O67"/>
    <mergeCell ref="P67:S67"/>
    <mergeCell ref="T67:AB67"/>
    <mergeCell ref="C70:D70"/>
    <mergeCell ref="E70:N70"/>
    <mergeCell ref="Q70:R70"/>
    <mergeCell ref="S70:AB70"/>
    <mergeCell ref="AG70:AP70"/>
    <mergeCell ref="AM67:AO67"/>
    <mergeCell ref="C69:D69"/>
    <mergeCell ref="E69:N69"/>
    <mergeCell ref="Q69:R69"/>
    <mergeCell ref="S69:AB69"/>
    <mergeCell ref="F82:I83"/>
    <mergeCell ref="J82:P83"/>
    <mergeCell ref="Q82:R83"/>
    <mergeCell ref="Q71:R71"/>
    <mergeCell ref="S71:AB71"/>
    <mergeCell ref="X75:AD75"/>
    <mergeCell ref="Q75:W75"/>
    <mergeCell ref="AC67:AF67"/>
    <mergeCell ref="AE70:AF70"/>
    <mergeCell ref="AE71:AF71"/>
    <mergeCell ref="AE69:AF69"/>
    <mergeCell ref="AA61:AC61"/>
    <mergeCell ref="X57:AD58"/>
    <mergeCell ref="AE57:AH58"/>
    <mergeCell ref="AI57:AP58"/>
    <mergeCell ref="D60:I60"/>
    <mergeCell ref="J60:Q60"/>
    <mergeCell ref="R60:Z60"/>
    <mergeCell ref="AA60:AC60"/>
    <mergeCell ref="AD60:AM60"/>
    <mergeCell ref="AA63:AC63"/>
    <mergeCell ref="AD61:AM61"/>
    <mergeCell ref="D62:I62"/>
    <mergeCell ref="J62:Q62"/>
    <mergeCell ref="R62:Z62"/>
    <mergeCell ref="AA62:AC62"/>
    <mergeCell ref="AD62:AM62"/>
    <mergeCell ref="D61:I61"/>
    <mergeCell ref="J61:Q61"/>
    <mergeCell ref="R61:Z61"/>
    <mergeCell ref="AD63:AM63"/>
    <mergeCell ref="D63:I63"/>
    <mergeCell ref="J63:Q63"/>
    <mergeCell ref="R63:Z63"/>
    <mergeCell ref="V51:W52"/>
    <mergeCell ref="X51:AD52"/>
    <mergeCell ref="V53:W54"/>
    <mergeCell ref="B55:B56"/>
    <mergeCell ref="C55:E56"/>
    <mergeCell ref="X53:AD54"/>
    <mergeCell ref="F55:I56"/>
    <mergeCell ref="J55:P56"/>
    <mergeCell ref="X55:AD56"/>
    <mergeCell ref="C53:E54"/>
    <mergeCell ref="F53:I54"/>
    <mergeCell ref="J53:P54"/>
    <mergeCell ref="AE55:AH56"/>
    <mergeCell ref="AI55:AP56"/>
    <mergeCell ref="B57:B58"/>
    <mergeCell ref="C57:E58"/>
    <mergeCell ref="F57:I58"/>
    <mergeCell ref="J57:P58"/>
    <mergeCell ref="Q57:R58"/>
    <mergeCell ref="Q55:R56"/>
    <mergeCell ref="V55:W56"/>
    <mergeCell ref="V57:W58"/>
    <mergeCell ref="B49:B50"/>
    <mergeCell ref="AI44:AP44"/>
    <mergeCell ref="B45:B46"/>
    <mergeCell ref="C45:E46"/>
    <mergeCell ref="F45:I46"/>
    <mergeCell ref="J45:P46"/>
    <mergeCell ref="J49:P50"/>
    <mergeCell ref="AE51:AH52"/>
    <mergeCell ref="Q49:R50"/>
    <mergeCell ref="V49:W50"/>
    <mergeCell ref="X45:AD46"/>
    <mergeCell ref="AE45:AH46"/>
    <mergeCell ref="Q45:R46"/>
    <mergeCell ref="V45:W46"/>
    <mergeCell ref="B53:B54"/>
    <mergeCell ref="AI51:AP52"/>
    <mergeCell ref="X47:AD48"/>
    <mergeCell ref="AE47:AH48"/>
    <mergeCell ref="AI47:AP48"/>
    <mergeCell ref="AE49:AH50"/>
    <mergeCell ref="AI49:AP50"/>
    <mergeCell ref="X49:AD50"/>
    <mergeCell ref="C49:E50"/>
    <mergeCell ref="F49:I50"/>
    <mergeCell ref="Q53:R54"/>
    <mergeCell ref="AE53:AH54"/>
    <mergeCell ref="AI53:AP54"/>
    <mergeCell ref="B51:B52"/>
    <mergeCell ref="C51:E52"/>
    <mergeCell ref="F51:I52"/>
    <mergeCell ref="J51:P52"/>
    <mergeCell ref="Q51:R52"/>
    <mergeCell ref="X44:AD44"/>
    <mergeCell ref="Q44:W44"/>
    <mergeCell ref="AC35:AF35"/>
    <mergeCell ref="AE38:AF38"/>
    <mergeCell ref="AE39:AF39"/>
    <mergeCell ref="AE37:AF37"/>
    <mergeCell ref="B47:B48"/>
    <mergeCell ref="C47:E48"/>
    <mergeCell ref="F47:I48"/>
    <mergeCell ref="J47:P48"/>
    <mergeCell ref="AG39:AP39"/>
    <mergeCell ref="C44:E44"/>
    <mergeCell ref="F44:I44"/>
    <mergeCell ref="J44:P44"/>
    <mergeCell ref="C39:D39"/>
    <mergeCell ref="E39:N39"/>
    <mergeCell ref="AI45:AP46"/>
    <mergeCell ref="AE44:AH44"/>
    <mergeCell ref="Q47:R48"/>
    <mergeCell ref="V47:W48"/>
    <mergeCell ref="AG37:AP37"/>
    <mergeCell ref="AG35:AL35"/>
    <mergeCell ref="C35:F35"/>
    <mergeCell ref="G35:O35"/>
    <mergeCell ref="P35:S35"/>
    <mergeCell ref="T35:AB35"/>
    <mergeCell ref="C38:D38"/>
    <mergeCell ref="E38:N38"/>
    <mergeCell ref="Q38:R38"/>
    <mergeCell ref="S38:AB38"/>
    <mergeCell ref="AG38:AP38"/>
    <mergeCell ref="AM35:AO35"/>
    <mergeCell ref="C37:D37"/>
    <mergeCell ref="E37:N37"/>
    <mergeCell ref="Q37:R37"/>
    <mergeCell ref="S37:AB37"/>
    <mergeCell ref="Q39:R39"/>
    <mergeCell ref="S39:AB39"/>
    <mergeCell ref="AA29:AC29"/>
    <mergeCell ref="X25:AD26"/>
    <mergeCell ref="AE25:AH26"/>
    <mergeCell ref="AI25:AP26"/>
    <mergeCell ref="D28:I28"/>
    <mergeCell ref="J28:Q28"/>
    <mergeCell ref="R28:Z28"/>
    <mergeCell ref="AA28:AC28"/>
    <mergeCell ref="AD28:AM28"/>
    <mergeCell ref="AA31:AC31"/>
    <mergeCell ref="AD29:AM29"/>
    <mergeCell ref="D30:I30"/>
    <mergeCell ref="J30:Q30"/>
    <mergeCell ref="R30:Z30"/>
    <mergeCell ref="AA30:AC30"/>
    <mergeCell ref="AD30:AM30"/>
    <mergeCell ref="D29:I29"/>
    <mergeCell ref="J29:Q29"/>
    <mergeCell ref="R29:Z29"/>
    <mergeCell ref="AD31:AM31"/>
    <mergeCell ref="D31:I31"/>
    <mergeCell ref="J31:Q31"/>
    <mergeCell ref="R31:Z31"/>
    <mergeCell ref="B23:B24"/>
    <mergeCell ref="C23:E24"/>
    <mergeCell ref="X21:AD22"/>
    <mergeCell ref="F23:I24"/>
    <mergeCell ref="J23:P24"/>
    <mergeCell ref="X23:AD24"/>
    <mergeCell ref="C21:E22"/>
    <mergeCell ref="F21:I22"/>
    <mergeCell ref="J21:P22"/>
    <mergeCell ref="AE23:AH24"/>
    <mergeCell ref="AI23:AP24"/>
    <mergeCell ref="B25:B26"/>
    <mergeCell ref="C25:E26"/>
    <mergeCell ref="F25:I26"/>
    <mergeCell ref="J25:P26"/>
    <mergeCell ref="Q25:R26"/>
    <mergeCell ref="Q23:R24"/>
    <mergeCell ref="V23:W24"/>
    <mergeCell ref="V25:W26"/>
    <mergeCell ref="Q17:R18"/>
    <mergeCell ref="V17:W18"/>
    <mergeCell ref="X17:AD18"/>
    <mergeCell ref="X15:AD16"/>
    <mergeCell ref="AE15:AH16"/>
    <mergeCell ref="AI15:AP16"/>
    <mergeCell ref="Q15:R16"/>
    <mergeCell ref="V15:W16"/>
    <mergeCell ref="AI19:AP20"/>
    <mergeCell ref="AE17:AH18"/>
    <mergeCell ref="AI17:AP18"/>
    <mergeCell ref="B17:B18"/>
    <mergeCell ref="C17:E18"/>
    <mergeCell ref="F17:I18"/>
    <mergeCell ref="J17:P18"/>
    <mergeCell ref="B21:B22"/>
    <mergeCell ref="B15:B16"/>
    <mergeCell ref="C15:E16"/>
    <mergeCell ref="F15:I16"/>
    <mergeCell ref="J15:P16"/>
    <mergeCell ref="AE19:AH20"/>
    <mergeCell ref="Q21:R22"/>
    <mergeCell ref="AE21:AH22"/>
    <mergeCell ref="AI21:AP22"/>
    <mergeCell ref="B19:B20"/>
    <mergeCell ref="C19:E20"/>
    <mergeCell ref="F19:I20"/>
    <mergeCell ref="J19:P20"/>
    <mergeCell ref="Q19:R20"/>
    <mergeCell ref="V19:W20"/>
    <mergeCell ref="X19:AD20"/>
    <mergeCell ref="V21:W22"/>
    <mergeCell ref="X12:AD12"/>
    <mergeCell ref="AE12:AH12"/>
    <mergeCell ref="C7:D7"/>
    <mergeCell ref="E7:N7"/>
    <mergeCell ref="Q7:R7"/>
    <mergeCell ref="S7:AB7"/>
    <mergeCell ref="AE7:AF7"/>
    <mergeCell ref="AG7:AP7"/>
    <mergeCell ref="C12:E12"/>
    <mergeCell ref="F12:I12"/>
    <mergeCell ref="J12:P12"/>
    <mergeCell ref="Q12:W12"/>
    <mergeCell ref="AI12:AP12"/>
    <mergeCell ref="B13:B14"/>
    <mergeCell ref="C13:E14"/>
    <mergeCell ref="F13:I14"/>
    <mergeCell ref="J13:P14"/>
    <mergeCell ref="Q13:R14"/>
    <mergeCell ref="V13:W14"/>
    <mergeCell ref="X13:AD14"/>
    <mergeCell ref="AE13:AH14"/>
    <mergeCell ref="AI13:AP14"/>
    <mergeCell ref="E5:N5"/>
    <mergeCell ref="Q5:R5"/>
    <mergeCell ref="S5:AB5"/>
    <mergeCell ref="AM3:AO3"/>
    <mergeCell ref="AE5:AF5"/>
    <mergeCell ref="AG5:AP5"/>
    <mergeCell ref="C6:D6"/>
    <mergeCell ref="E6:N6"/>
    <mergeCell ref="Q6:R6"/>
    <mergeCell ref="S6:AB6"/>
    <mergeCell ref="AE6:AF6"/>
    <mergeCell ref="AG6:AP6"/>
    <mergeCell ref="C5:D5"/>
    <mergeCell ref="C3:F3"/>
    <mergeCell ref="G3:O3"/>
    <mergeCell ref="P3:S3"/>
    <mergeCell ref="T3:AB3"/>
    <mergeCell ref="AC3:AF3"/>
    <mergeCell ref="AG3:AL3"/>
  </mergeCells>
  <phoneticPr fontId="25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pageOrder="overThenDown" orientation="landscape" horizontalDpi="300" verticalDpi="300" r:id="rId1"/>
  <headerFooter>
    <oddFooter>&amp;RVer. 4.20.2</oddFooter>
  </headerFooter>
  <rowBreaks count="11" manualBreakCount="11">
    <brk id="31" max="42" man="1"/>
    <brk id="63" max="42" man="1"/>
    <brk id="94" max="42" man="1"/>
    <brk id="126" max="42" man="1"/>
    <brk id="158" max="42" man="1"/>
    <brk id="190" max="42" man="1"/>
    <brk id="222" max="42" man="1"/>
    <brk id="254" max="42" man="1"/>
    <brk id="286" max="42" man="1"/>
    <brk id="318" max="42" man="1"/>
    <brk id="350" max="4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Z64"/>
  <sheetViews>
    <sheetView zoomScale="80" zoomScaleNormal="80" zoomScaleSheetLayoutView="78" workbookViewId="0">
      <selection activeCell="AX1" sqref="AX1"/>
    </sheetView>
  </sheetViews>
  <sheetFormatPr defaultColWidth="8.625" defaultRowHeight="13.5" x14ac:dyDescent="0.4"/>
  <cols>
    <col min="1" max="1" width="3.25" style="233" customWidth="1"/>
    <col min="2" max="2" width="10.875" style="149" customWidth="1"/>
    <col min="3" max="3" width="3.125" style="166" customWidth="1"/>
    <col min="4" max="4" width="3.25" style="166" customWidth="1"/>
    <col min="5" max="5" width="2.5" style="166" customWidth="1"/>
    <col min="6" max="6" width="3.25" style="166" customWidth="1"/>
    <col min="7" max="7" width="3.125" style="166" customWidth="1"/>
    <col min="8" max="8" width="3.25" style="166" customWidth="1"/>
    <col min="9" max="9" width="2.5" style="166" customWidth="1"/>
    <col min="10" max="10" width="3.25" style="166" customWidth="1"/>
    <col min="11" max="11" width="3" style="166" customWidth="1"/>
    <col min="12" max="12" width="3.25" style="166" customWidth="1"/>
    <col min="13" max="13" width="2.5" style="166" customWidth="1"/>
    <col min="14" max="14" width="3.25" style="166" customWidth="1"/>
    <col min="15" max="15" width="3.125" style="166" customWidth="1"/>
    <col min="16" max="16" width="3.5" style="166" customWidth="1"/>
    <col min="17" max="17" width="2.5" style="166" customWidth="1"/>
    <col min="18" max="18" width="3.25" style="166" customWidth="1"/>
    <col min="19" max="19" width="3.125" style="166" customWidth="1"/>
    <col min="20" max="20" width="3.625" style="166" customWidth="1"/>
    <col min="21" max="21" width="2.5" style="166" customWidth="1"/>
    <col min="22" max="22" width="3.5" style="166" customWidth="1"/>
    <col min="23" max="23" width="3.125" style="166" customWidth="1"/>
    <col min="24" max="24" width="3.875" style="166" customWidth="1"/>
    <col min="25" max="25" width="2.5" style="166" customWidth="1"/>
    <col min="26" max="26" width="3.625" style="166" customWidth="1"/>
    <col min="27" max="27" width="3.125" style="166" customWidth="1"/>
    <col min="28" max="28" width="3.5" style="166" customWidth="1"/>
    <col min="29" max="29" width="2.5" style="166" customWidth="1"/>
    <col min="30" max="32" width="3.5" style="166" customWidth="1"/>
    <col min="33" max="33" width="2.5" style="166" customWidth="1"/>
    <col min="34" max="38" width="3.625" style="166" customWidth="1"/>
    <col min="39" max="39" width="3.125" style="166" customWidth="1"/>
    <col min="40" max="40" width="3.625" style="166" customWidth="1"/>
    <col min="41" max="41" width="2.25" style="166" customWidth="1"/>
    <col min="42" max="42" width="3.625" style="166" customWidth="1"/>
    <col min="43" max="43" width="6.125" style="166" customWidth="1"/>
    <col min="44" max="44" width="6.5" style="166" customWidth="1"/>
    <col min="45" max="45" width="6.125" style="166" customWidth="1"/>
    <col min="46" max="46" width="5.875" style="166" customWidth="1"/>
    <col min="47" max="48" width="6.375" style="166" customWidth="1"/>
    <col min="49" max="49" width="6.75" style="166" customWidth="1"/>
    <col min="50" max="50" width="11.375" style="166" customWidth="1"/>
    <col min="51" max="51" width="17.5" style="166" hidden="1" customWidth="1"/>
    <col min="52" max="52" width="12.5" style="166" customWidth="1"/>
    <col min="53" max="16384" width="8.625" style="166"/>
  </cols>
  <sheetData>
    <row r="1" spans="1:51" ht="27.75" customHeight="1" x14ac:dyDescent="0.4">
      <c r="C1" s="204"/>
      <c r="E1" s="205" t="s">
        <v>345</v>
      </c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</row>
    <row r="2" spans="1:51" ht="15" customHeight="1" thickBot="1" x14ac:dyDescent="0.45">
      <c r="B2" s="206"/>
      <c r="C2" s="204"/>
      <c r="G2" s="204"/>
    </row>
    <row r="3" spans="1:51" s="149" customFormat="1" ht="20.25" customHeight="1" thickBot="1" x14ac:dyDescent="0.45">
      <c r="A3" s="250"/>
      <c r="B3" s="251" t="s">
        <v>375</v>
      </c>
      <c r="C3" s="969" t="str">
        <f>B4</f>
        <v>富士見ＳＳＳ</v>
      </c>
      <c r="D3" s="969"/>
      <c r="E3" s="969"/>
      <c r="F3" s="970"/>
      <c r="G3" s="968" t="str">
        <f>B5</f>
        <v>石井ＦＣ</v>
      </c>
      <c r="H3" s="969"/>
      <c r="I3" s="969"/>
      <c r="J3" s="970"/>
      <c r="K3" s="968" t="str">
        <f>B6</f>
        <v>unionscU12</v>
      </c>
      <c r="L3" s="969"/>
      <c r="M3" s="969"/>
      <c r="N3" s="970"/>
      <c r="O3" s="968" t="str">
        <f>B7</f>
        <v>ＳＵＧＡＯ・ＳＣ</v>
      </c>
      <c r="P3" s="969"/>
      <c r="Q3" s="969"/>
      <c r="R3" s="970"/>
      <c r="S3" s="974" t="str">
        <f>B8</f>
        <v>ブラッドレスＳＣ</v>
      </c>
      <c r="T3" s="975"/>
      <c r="U3" s="975"/>
      <c r="V3" s="976"/>
      <c r="W3" s="968" t="str">
        <f>B9</f>
        <v>Ｓ４スペランツァ</v>
      </c>
      <c r="X3" s="969"/>
      <c r="Y3" s="969"/>
      <c r="Z3" s="975"/>
      <c r="AA3" s="977" t="str">
        <f>B10</f>
        <v>上河内ＪＳＣ</v>
      </c>
      <c r="AB3" s="977"/>
      <c r="AC3" s="977"/>
      <c r="AD3" s="976"/>
      <c r="AE3" s="968" t="str">
        <f>B11</f>
        <v>国本ＪＳＣ</v>
      </c>
      <c r="AF3" s="969"/>
      <c r="AG3" s="969"/>
      <c r="AH3" s="970"/>
      <c r="AI3" s="968" t="str">
        <f>B12</f>
        <v>本郷北ＦＣ</v>
      </c>
      <c r="AJ3" s="969"/>
      <c r="AK3" s="969"/>
      <c r="AL3" s="970"/>
      <c r="AM3" s="968" t="str">
        <f>B13</f>
        <v>FCアネーロ・U-12</v>
      </c>
      <c r="AN3" s="969"/>
      <c r="AO3" s="969"/>
      <c r="AP3" s="984"/>
      <c r="AQ3" s="144" t="s">
        <v>14</v>
      </c>
      <c r="AR3" s="145" t="s">
        <v>340</v>
      </c>
      <c r="AS3" s="145" t="s">
        <v>335</v>
      </c>
      <c r="AT3" s="145" t="s">
        <v>336</v>
      </c>
      <c r="AU3" s="243" t="s">
        <v>337</v>
      </c>
      <c r="AV3" s="378" t="s">
        <v>338</v>
      </c>
      <c r="AW3" s="379" t="s">
        <v>341</v>
      </c>
      <c r="AX3" s="148" t="s">
        <v>342</v>
      </c>
    </row>
    <row r="4" spans="1:51" ht="25.5" customHeight="1" thickTop="1" x14ac:dyDescent="0.4">
      <c r="A4" s="252">
        <v>1</v>
      </c>
      <c r="B4" s="253" t="str">
        <f>VLOOKUP(A4,U12組合せ!B10:K19,3,TRUE)</f>
        <v>富士見ＳＳＳ</v>
      </c>
      <c r="C4" s="979"/>
      <c r="D4" s="979"/>
      <c r="E4" s="979"/>
      <c r="F4" s="980"/>
      <c r="G4" s="152" t="str">
        <f>IF(H4="","",(IF(H4-J4&gt;0,"○",IF(H4-J4&lt;0,"●","△"))))</f>
        <v>△</v>
      </c>
      <c r="H4" s="234">
        <f>IF(Ａブロック対戦表!$Q$13="","",Ａブロック対戦表!$Q13)</f>
        <v>0</v>
      </c>
      <c r="I4" s="153" t="s">
        <v>343</v>
      </c>
      <c r="J4" s="154">
        <f>IF(Ａブロック対戦表!$V13="","",Ａブロック対戦表!$V13)</f>
        <v>0</v>
      </c>
      <c r="K4" s="155" t="str">
        <f>IF(L4="","",(IF(L4-N4&gt;0,"○",IF(L4-N4&lt;0,"●","△"))))</f>
        <v>●</v>
      </c>
      <c r="L4" s="235">
        <f>IF(Ａブロック対戦表!$V17="","",Ａブロック対戦表!$V17)</f>
        <v>0</v>
      </c>
      <c r="M4" s="153" t="s">
        <v>343</v>
      </c>
      <c r="N4" s="158">
        <f>IF(Ａブロック対戦表!$Q17="","",Ａブロック対戦表!$Q17)</f>
        <v>3</v>
      </c>
      <c r="O4" s="155" t="str">
        <f>IF(P4="","",(IF(P4-R4&gt;0,"○",IF(P4-R4&lt;0,"●","△"))))</f>
        <v>●</v>
      </c>
      <c r="P4" s="157">
        <f>IF(Ａブロック対戦表!$Q107="","",Ａブロック対戦表!$Q107)</f>
        <v>0</v>
      </c>
      <c r="Q4" s="153" t="s">
        <v>339</v>
      </c>
      <c r="R4" s="156">
        <f>IF(Ａブロック対戦表!$V107="","",Ａブロック対戦表!$V107)</f>
        <v>2</v>
      </c>
      <c r="S4" s="152" t="str">
        <f>IF(T4="","",(IF(T4-V4&gt;0,"○",IF(T4-V4&lt;0,"●","△"))))</f>
        <v/>
      </c>
      <c r="T4" s="157" t="str">
        <f>IF(Ａブロック対戦表!$Q299="","",Ａブロック対戦表!$Q299)</f>
        <v/>
      </c>
      <c r="U4" s="153" t="s">
        <v>339</v>
      </c>
      <c r="V4" s="156" t="str">
        <f>IF(Ａブロック対戦表!$V299="","",Ａブロック対戦表!$V299)</f>
        <v/>
      </c>
      <c r="W4" s="152" t="str">
        <f>IF(X4="","",(IF(X4-Z4&gt;0,"○",IF(X4-Z4&lt;0,"●","△"))))</f>
        <v>○</v>
      </c>
      <c r="X4" s="158">
        <f>IF(Ａブロック対戦表!$Q$233="","",Ａブロック対戦表!$Q233)</f>
        <v>3</v>
      </c>
      <c r="Y4" s="153" t="s">
        <v>339</v>
      </c>
      <c r="Z4" s="158">
        <f>IF(Ａブロック対戦表!$V233="","",Ａブロック対戦表!$V233)</f>
        <v>1</v>
      </c>
      <c r="AA4" s="152" t="str">
        <f t="shared" ref="AA4:AA9" si="0">IF(AB4="","",(IF(AB4-AD4&gt;0,"○",IF(AB4-AD4&lt;0,"●","△"))))</f>
        <v/>
      </c>
      <c r="AB4" s="157" t="str">
        <f>IF(Ａブロック対戦表!$Q295="","",Ａブロック対戦表!$Q295)</f>
        <v/>
      </c>
      <c r="AC4" s="153" t="s">
        <v>339</v>
      </c>
      <c r="AD4" s="156" t="str">
        <f>IF(Ａブロック対戦表!$V295="","",Ａブロック対戦表!$V295)</f>
        <v/>
      </c>
      <c r="AE4" s="152" t="str">
        <f t="shared" ref="AE4:AE10" si="1">IF(AF4="","",(IF(AF4-AH4&gt;0,"○",IF(AF4-AH4&lt;0,"●","△"))))</f>
        <v>△</v>
      </c>
      <c r="AF4" s="158">
        <f>IF(Ａブロック対戦表!$Q111="","",Ａブロック対戦表!$Q111)</f>
        <v>2</v>
      </c>
      <c r="AG4" s="153" t="s">
        <v>339</v>
      </c>
      <c r="AH4" s="158">
        <f>IF(Ａブロック対戦表!$V111="","",Ａブロック対戦表!$V111)</f>
        <v>2</v>
      </c>
      <c r="AI4" s="155" t="str">
        <f t="shared" ref="AI4:AI11" si="2">IF(AJ4="","",(IF(AJ4-AL4&gt;0,"○",IF(AJ4-AL4&lt;0,"●","△"))))</f>
        <v/>
      </c>
      <c r="AJ4" s="158" t="str">
        <f>IF(Ａブロック対戦表!$Q$388="","",Ａブロック対戦表!$Q388)</f>
        <v/>
      </c>
      <c r="AK4" s="153" t="s">
        <v>339</v>
      </c>
      <c r="AL4" s="156" t="str">
        <f>IF(Ａブロック対戦表!$V388="","",Ａブロック対戦表!$V388)</f>
        <v/>
      </c>
      <c r="AM4" s="155" t="str">
        <f t="shared" ref="AM4:AM11" si="3">IF(AN4="","",(IF(AN4-AP4&gt;0,"○",IF(AN4-AP4&lt;0,"●","△"))))</f>
        <v>●</v>
      </c>
      <c r="AN4" s="158">
        <f>IF(Ａブロック対戦表!$V237="","",Ａブロック対戦表!$V237)</f>
        <v>2</v>
      </c>
      <c r="AO4" s="153" t="s">
        <v>339</v>
      </c>
      <c r="AP4" s="207">
        <f>IF(Ａブロック対戦表!$Q237="","",Ａブロック対戦表!$Q237)</f>
        <v>4</v>
      </c>
      <c r="AQ4" s="159">
        <f t="shared" ref="AQ4:AQ12" si="4">SUM(AS4:AU4)</f>
        <v>6</v>
      </c>
      <c r="AR4" s="160">
        <f t="shared" ref="AR4:AR12" si="5">AS4*3+AU4</f>
        <v>5</v>
      </c>
      <c r="AS4" s="160">
        <f>COUNTIF(C4:AM4,"○")</f>
        <v>1</v>
      </c>
      <c r="AT4" s="160">
        <f>COUNTIF(C4:AM4,"●")</f>
        <v>3</v>
      </c>
      <c r="AU4" s="244">
        <f>COUNTIF(C4:AM4,"△")</f>
        <v>2</v>
      </c>
      <c r="AV4" s="380">
        <f t="shared" ref="AV4:AV13" si="6">AW4-SUM(F4,J4,N4,R4,V4,Z4,AD4,AH4,AL4,AP4)</f>
        <v>-5</v>
      </c>
      <c r="AW4" s="381">
        <f>SUM(D4,H4,L4,P4,T4,X4,AB4,AF4,AJ4,AN4)</f>
        <v>7</v>
      </c>
      <c r="AX4" s="164">
        <f>RANK(AY4,AY$4:AY$13)</f>
        <v>8</v>
      </c>
      <c r="AY4" s="165">
        <f t="shared" ref="AY4:AY12" si="7">AR4*10000+AV4*100+AW4</f>
        <v>49507</v>
      </c>
    </row>
    <row r="5" spans="1:51" ht="25.5" customHeight="1" x14ac:dyDescent="0.4">
      <c r="A5" s="167">
        <v>2</v>
      </c>
      <c r="B5" s="248" t="str">
        <f>VLOOKUP(A5,U12組合せ!B11:K20,3,TRUE)</f>
        <v>石井ＦＣ</v>
      </c>
      <c r="C5" s="209" t="str">
        <f t="shared" ref="C5:C12" si="8">IF(D5="","",(IF(D5-F5&gt;0,"○",IF(D5-F5&lt;0,"●","△"))))</f>
        <v>△</v>
      </c>
      <c r="D5" s="168">
        <f>IF(J4="","",J4)</f>
        <v>0</v>
      </c>
      <c r="E5" s="169" t="s">
        <v>343</v>
      </c>
      <c r="F5" s="170">
        <f>IF(H4="","",H4)</f>
        <v>0</v>
      </c>
      <c r="G5" s="981"/>
      <c r="H5" s="982"/>
      <c r="I5" s="982"/>
      <c r="J5" s="983"/>
      <c r="K5" s="152" t="str">
        <f>IF(L5="","",(IF(L5-N5&gt;0,"○",IF(L5-N5&lt;0,"●","△"))))</f>
        <v>●</v>
      </c>
      <c r="L5" s="234">
        <f>IF(Ａブロック対戦表!$Q201="","",Ａブロック対戦表!$Q201)</f>
        <v>0</v>
      </c>
      <c r="M5" s="171" t="s">
        <v>343</v>
      </c>
      <c r="N5" s="154">
        <f>IF(Ａブロック対戦表!$V201="","",Ａブロック対戦表!$V201)</f>
        <v>1</v>
      </c>
      <c r="O5" s="183" t="str">
        <f>IF(P5="","",(IF(P5-R5&gt;0,"○",IF(P5-R5&lt;0,"●","△"))))</f>
        <v>○</v>
      </c>
      <c r="P5" s="238">
        <f>IF(Ａブロック対戦表!$Q19="","",Ａブロック対戦表!$Q19)</f>
        <v>1</v>
      </c>
      <c r="Q5" s="171" t="s">
        <v>343</v>
      </c>
      <c r="R5" s="210">
        <f>IF(Ａブロック対戦表!$V19="","",Ａブロック対戦表!$V19)</f>
        <v>0</v>
      </c>
      <c r="S5" s="152" t="str">
        <f>IF(T5="","",(IF(T5-V5&gt;0,"○",IF(T5-V5&lt;0,"●","△"))))</f>
        <v>○</v>
      </c>
      <c r="T5" s="173">
        <f>IF(Ａブロック対戦表!$Q205="","",Ａブロック対戦表!$Q205)</f>
        <v>3</v>
      </c>
      <c r="U5" s="174" t="s">
        <v>339</v>
      </c>
      <c r="V5" s="175">
        <f>IF(Ａブロック対戦表!$V205="","",Ａブロック対戦表!$V205)</f>
        <v>0</v>
      </c>
      <c r="W5" s="152" t="str">
        <f>IF(X5="","",(IF(X5-Z5&gt;0,"○",IF(X5-Z5&lt;0,"●","△"))))</f>
        <v>●</v>
      </c>
      <c r="X5" s="176">
        <f>IF(Ａブロック対戦表!$Q139="","",Ａブロック対戦表!$Q139)</f>
        <v>0</v>
      </c>
      <c r="Y5" s="174" t="s">
        <v>339</v>
      </c>
      <c r="Z5" s="176">
        <f>IF(Ａブロック対戦表!$V139="","",Ａブロック対戦表!$V139)</f>
        <v>2</v>
      </c>
      <c r="AA5" s="152" t="str">
        <f t="shared" si="0"/>
        <v/>
      </c>
      <c r="AB5" s="176" t="str">
        <f>IF(Ａブロック対戦表!$Q$450="","",Ａブロック対戦表!$Q450)</f>
        <v/>
      </c>
      <c r="AC5" s="174" t="s">
        <v>339</v>
      </c>
      <c r="AD5" s="176" t="str">
        <f>IF(Ａブロック対戦表!$V450="","",Ａブロック対戦表!$V450)</f>
        <v/>
      </c>
      <c r="AE5" s="239" t="str">
        <f t="shared" si="1"/>
        <v/>
      </c>
      <c r="AF5" s="240" t="str">
        <f>IF(Ａブロック対戦表!$Q452="","",Ａブロック対戦表!$Q452)</f>
        <v/>
      </c>
      <c r="AG5" s="177" t="s">
        <v>339</v>
      </c>
      <c r="AH5" s="241" t="str">
        <f>IF(Ａブロック対戦表!$V452="","",Ａブロック対戦表!$V452)</f>
        <v/>
      </c>
      <c r="AI5" s="152" t="str">
        <f t="shared" si="2"/>
        <v>○</v>
      </c>
      <c r="AJ5" s="172">
        <f>IF(Ａブロック対戦表!$Q141="","",Ａブロック対戦表!$Q141)</f>
        <v>3</v>
      </c>
      <c r="AK5" s="171" t="s">
        <v>339</v>
      </c>
      <c r="AL5" s="210">
        <f>IF(Ａブロック対戦表!$V141="","",Ａブロック対戦表!$V141)</f>
        <v>2</v>
      </c>
      <c r="AM5" s="152" t="str">
        <f t="shared" si="3"/>
        <v/>
      </c>
      <c r="AN5" s="172" t="str">
        <f>IF(Ａブロック対戦表!$Q357="","",Ａブロック対戦表!$Q357)</f>
        <v/>
      </c>
      <c r="AO5" s="171" t="s">
        <v>339</v>
      </c>
      <c r="AP5" s="208" t="str">
        <f>IF(Ａブロック対戦表!$V357="","",Ａブロック対戦表!$V357)</f>
        <v/>
      </c>
      <c r="AQ5" s="159">
        <f t="shared" si="4"/>
        <v>6</v>
      </c>
      <c r="AR5" s="160">
        <f t="shared" si="5"/>
        <v>10</v>
      </c>
      <c r="AS5" s="160">
        <f t="shared" ref="AS5:AS13" si="9">COUNTIF(C5:AM5,"○")</f>
        <v>3</v>
      </c>
      <c r="AT5" s="160">
        <f t="shared" ref="AT5:AT13" si="10">COUNTIF(C5:AM5,"●")</f>
        <v>2</v>
      </c>
      <c r="AU5" s="244">
        <f t="shared" ref="AU5:AU13" si="11">COUNTIF(C5:AM5,"△")</f>
        <v>1</v>
      </c>
      <c r="AV5" s="380">
        <f t="shared" si="6"/>
        <v>2</v>
      </c>
      <c r="AW5" s="381">
        <f t="shared" ref="AW5:AW13" si="12">SUM(D5,H5,L5,P5,T5,X5,AB5,AF5,AJ5,AN5)</f>
        <v>7</v>
      </c>
      <c r="AX5" s="164">
        <f t="shared" ref="AX5:AX13" si="13">RANK(AY5,AY$4:AY$13)</f>
        <v>4</v>
      </c>
      <c r="AY5" s="165">
        <f t="shared" si="7"/>
        <v>100207</v>
      </c>
    </row>
    <row r="6" spans="1:51" ht="25.5" customHeight="1" x14ac:dyDescent="0.4">
      <c r="A6" s="167">
        <v>3</v>
      </c>
      <c r="B6" s="248" t="str">
        <f>VLOOKUP(A6,U12組合せ!B12:K21,3,TRUE)</f>
        <v>unionscU12</v>
      </c>
      <c r="C6" s="209" t="str">
        <f t="shared" si="8"/>
        <v>○</v>
      </c>
      <c r="D6" s="179">
        <f>IF(N4="","",N4)</f>
        <v>3</v>
      </c>
      <c r="E6" s="180" t="s">
        <v>343</v>
      </c>
      <c r="F6" s="181">
        <f>IF(L4="","",L4)</f>
        <v>0</v>
      </c>
      <c r="G6" s="152" t="str">
        <f t="shared" ref="G6:G12" si="14">IF(H6="","",(IF(H6-J6&gt;0,"○",IF(H6-J6&lt;0,"●","△"))))</f>
        <v>○</v>
      </c>
      <c r="H6" s="168">
        <f>IF(N5="","",N5)</f>
        <v>1</v>
      </c>
      <c r="I6" s="169" t="s">
        <v>343</v>
      </c>
      <c r="J6" s="170">
        <f>IF(L5="","",L5)</f>
        <v>0</v>
      </c>
      <c r="K6" s="973"/>
      <c r="L6" s="971"/>
      <c r="M6" s="971"/>
      <c r="N6" s="971"/>
      <c r="O6" s="152" t="str">
        <f>IF(P6="","",(IF(P6-R6&gt;0,"○",IF(P6-R6&lt;0,"●","△"))))</f>
        <v>△</v>
      </c>
      <c r="P6" s="234">
        <f>IF(Ａブロック対戦表!Q15="","",Ａブロック対戦表!Q15)</f>
        <v>3</v>
      </c>
      <c r="Q6" s="171" t="s">
        <v>339</v>
      </c>
      <c r="R6" s="234">
        <f>IF(Ａブロック対戦表!V15="","",Ａブロック対戦表!V15)</f>
        <v>3</v>
      </c>
      <c r="S6" s="152" t="str">
        <f>IF(T6="","",(IF(T6-V6&gt;0,"○",IF(T6-V6&lt;0,"●","△"))))</f>
        <v/>
      </c>
      <c r="T6" s="172" t="str">
        <f>IF(Ａブロック対戦表!$Q$419="","",Ａブロック対戦表!$Q419)</f>
        <v/>
      </c>
      <c r="U6" s="171" t="s">
        <v>339</v>
      </c>
      <c r="V6" s="172" t="str">
        <f>IF(Ａブロック対戦表!$V419="","",Ａブロック対戦表!$V419)</f>
        <v/>
      </c>
      <c r="W6" s="152" t="str">
        <f>IF(X6="","",(IF(X6-Z6&gt;0,"○",IF(X6-Z6&lt;0,"●","△"))))</f>
        <v/>
      </c>
      <c r="X6" s="154" t="str">
        <f>IF(Ａブロック対戦表!Q326="","",Ａブロック対戦表!Q326)</f>
        <v/>
      </c>
      <c r="Y6" s="171" t="s">
        <v>339</v>
      </c>
      <c r="Z6" s="154" t="str">
        <f>IF(Ａブロック対戦表!$V326="","",Ａブロック対戦表!$V326)</f>
        <v/>
      </c>
      <c r="AA6" s="152" t="str">
        <f t="shared" si="0"/>
        <v>○</v>
      </c>
      <c r="AB6" s="172">
        <f>IF(Ａブロック対戦表!Q170="","",Ａブロック対戦表!$Q170)</f>
        <v>6</v>
      </c>
      <c r="AC6" s="171" t="s">
        <v>339</v>
      </c>
      <c r="AD6" s="172">
        <f>IF(Ａブロック対戦表!V170="","",Ａブロック対戦表!$V170)</f>
        <v>1</v>
      </c>
      <c r="AE6" s="182" t="str">
        <f t="shared" si="1"/>
        <v/>
      </c>
      <c r="AF6" s="176" t="str">
        <f>IF(Ａブロック対戦表!$Q328="","",Ａブロック対戦表!$Q328)</f>
        <v/>
      </c>
      <c r="AG6" s="174" t="s">
        <v>339</v>
      </c>
      <c r="AH6" s="175" t="str">
        <f>IF(Ａブロック対戦表!V328="","",Ａブロック対戦表!V328)</f>
        <v/>
      </c>
      <c r="AI6" s="183" t="str">
        <f t="shared" si="2"/>
        <v>○</v>
      </c>
      <c r="AJ6" s="172">
        <f>IF(Ａブロック対戦表!Q207="","",Ａブロック対戦表!$Q207)</f>
        <v>3</v>
      </c>
      <c r="AK6" s="171" t="s">
        <v>339</v>
      </c>
      <c r="AL6" s="210">
        <f>IF(Ａブロック対戦表!$V207="","",Ａブロック対戦表!$V207)</f>
        <v>0</v>
      </c>
      <c r="AM6" s="183" t="str">
        <f t="shared" si="3"/>
        <v>○</v>
      </c>
      <c r="AN6" s="172">
        <f>IF(Ａブロック対戦表!$V$174="","",Ａブロック対戦表!$V174)</f>
        <v>2</v>
      </c>
      <c r="AO6" s="171" t="s">
        <v>339</v>
      </c>
      <c r="AP6" s="208">
        <f>IF(Ａブロック対戦表!$Q174="","",Ａブロック対戦表!$Q174)</f>
        <v>1</v>
      </c>
      <c r="AQ6" s="159">
        <f t="shared" si="4"/>
        <v>6</v>
      </c>
      <c r="AR6" s="160">
        <f t="shared" si="5"/>
        <v>16</v>
      </c>
      <c r="AS6" s="160">
        <f t="shared" si="9"/>
        <v>5</v>
      </c>
      <c r="AT6" s="160">
        <f t="shared" si="10"/>
        <v>0</v>
      </c>
      <c r="AU6" s="244">
        <f t="shared" si="11"/>
        <v>1</v>
      </c>
      <c r="AV6" s="380">
        <f t="shared" si="6"/>
        <v>13</v>
      </c>
      <c r="AW6" s="381">
        <f t="shared" si="12"/>
        <v>18</v>
      </c>
      <c r="AX6" s="164">
        <f t="shared" si="13"/>
        <v>2</v>
      </c>
      <c r="AY6" s="165">
        <f t="shared" si="7"/>
        <v>161318</v>
      </c>
    </row>
    <row r="7" spans="1:51" ht="25.5" customHeight="1" x14ac:dyDescent="0.4">
      <c r="A7" s="167">
        <v>4</v>
      </c>
      <c r="B7" s="248" t="str">
        <f>VLOOKUP(A7,U12組合せ!B13:K22,3,TRUE)</f>
        <v>ＳＵＧＡＯ・ＳＣ</v>
      </c>
      <c r="C7" s="209" t="str">
        <f t="shared" si="8"/>
        <v>○</v>
      </c>
      <c r="D7" s="179">
        <f>IF(R4="","",R4)</f>
        <v>2</v>
      </c>
      <c r="E7" s="180" t="s">
        <v>343</v>
      </c>
      <c r="F7" s="181">
        <f>IF(P4="","",P4)</f>
        <v>0</v>
      </c>
      <c r="G7" s="152" t="str">
        <f t="shared" si="14"/>
        <v>●</v>
      </c>
      <c r="H7" s="179">
        <f>IF(R5="","",R5)</f>
        <v>0</v>
      </c>
      <c r="I7" s="180" t="s">
        <v>343</v>
      </c>
      <c r="J7" s="181">
        <f>IF(P5="","",P5)</f>
        <v>1</v>
      </c>
      <c r="K7" s="152" t="str">
        <f t="shared" ref="K7:K12" si="15">IF(L7="","",(IF(L7-N7&gt;0,"○",IF(L7-N7&lt;0,"●","△"))))</f>
        <v>△</v>
      </c>
      <c r="L7" s="184">
        <f>IF(R6="","",R6)</f>
        <v>3</v>
      </c>
      <c r="M7" s="174" t="s">
        <v>343</v>
      </c>
      <c r="N7" s="185">
        <f>IF(P6="","",P6)</f>
        <v>3</v>
      </c>
      <c r="O7" s="971"/>
      <c r="P7" s="971"/>
      <c r="Q7" s="971"/>
      <c r="R7" s="972"/>
      <c r="S7" s="152" t="str">
        <f>IF(T7="","",(IF(T7-V7&gt;0,"○",IF(T7-V7&lt;0,"●","△"))))</f>
        <v>○</v>
      </c>
      <c r="T7" s="154">
        <f>IF(Ａブロック対戦表!V113="","",Ａブロック対戦表!V113)</f>
        <v>4</v>
      </c>
      <c r="U7" s="171" t="s">
        <v>339</v>
      </c>
      <c r="V7" s="154">
        <f>IF(Ａブロック対戦表!Q113="","",Ａブロック対戦表!Q113)</f>
        <v>1</v>
      </c>
      <c r="W7" s="152" t="str">
        <f>IF(X7="","",(IF(X7-Z7&gt;0,"○",IF(X7-Z7&lt;0,"●","△"))))</f>
        <v/>
      </c>
      <c r="X7" s="173" t="str">
        <f>IF(Ａブロック対戦表!$Q$392="","",Ａブロック対戦表!$Q392)</f>
        <v/>
      </c>
      <c r="Y7" s="174" t="s">
        <v>339</v>
      </c>
      <c r="Z7" s="175" t="str">
        <f>IF(Ａブロック対戦表!$V392="","",Ａブロック対戦表!$V392)</f>
        <v/>
      </c>
      <c r="AA7" s="152" t="str">
        <f t="shared" si="0"/>
        <v>●</v>
      </c>
      <c r="AB7" s="173">
        <f>IF(Ａブロック対戦表!Q264="","",Ａブロック対戦表!$Q264)</f>
        <v>0</v>
      </c>
      <c r="AC7" s="174" t="s">
        <v>339</v>
      </c>
      <c r="AD7" s="175">
        <f>IF(Ａブロック対戦表!$V264="","",Ａブロック対戦表!$V264)</f>
        <v>3</v>
      </c>
      <c r="AE7" s="152" t="str">
        <f t="shared" si="1"/>
        <v>●</v>
      </c>
      <c r="AF7" s="154">
        <f>IF(Ａブロック対戦表!V268="","",Ａブロック対戦表!V268)</f>
        <v>0</v>
      </c>
      <c r="AG7" s="171" t="s">
        <v>339</v>
      </c>
      <c r="AH7" s="154">
        <f>IF(Ａブロック対戦表!Q268="","",Ａブロック対戦表!Q268)</f>
        <v>5</v>
      </c>
      <c r="AI7" s="152" t="str">
        <f t="shared" si="2"/>
        <v/>
      </c>
      <c r="AJ7" s="172" t="str">
        <f>IF(Ａブロック対戦表!$Q$390="","",Ａブロック対戦表!$Q390)</f>
        <v/>
      </c>
      <c r="AK7" s="171" t="s">
        <v>339</v>
      </c>
      <c r="AL7" s="210" t="str">
        <f>IF(Ａブロック対戦表!$V390="","",Ａブロック対戦表!$V390)</f>
        <v/>
      </c>
      <c r="AM7" s="152" t="str">
        <f t="shared" si="3"/>
        <v/>
      </c>
      <c r="AN7" s="172" t="str">
        <f>IF(Ａブロック対戦表!$Q$359="","",Ａブロック対戦表!$Q359)</f>
        <v/>
      </c>
      <c r="AO7" s="171" t="s">
        <v>339</v>
      </c>
      <c r="AP7" s="208" t="str">
        <f>IF(Ａブロック対戦表!$V359="","",Ａブロック対戦表!$V359)</f>
        <v/>
      </c>
      <c r="AQ7" s="159">
        <f t="shared" si="4"/>
        <v>6</v>
      </c>
      <c r="AR7" s="160">
        <f t="shared" si="5"/>
        <v>7</v>
      </c>
      <c r="AS7" s="160">
        <f t="shared" si="9"/>
        <v>2</v>
      </c>
      <c r="AT7" s="160">
        <f t="shared" si="10"/>
        <v>3</v>
      </c>
      <c r="AU7" s="244">
        <f t="shared" si="11"/>
        <v>1</v>
      </c>
      <c r="AV7" s="380">
        <f t="shared" si="6"/>
        <v>-4</v>
      </c>
      <c r="AW7" s="381">
        <f t="shared" si="12"/>
        <v>9</v>
      </c>
      <c r="AX7" s="164">
        <f t="shared" si="13"/>
        <v>7</v>
      </c>
      <c r="AY7" s="165">
        <f t="shared" si="7"/>
        <v>69609</v>
      </c>
    </row>
    <row r="8" spans="1:51" ht="25.5" customHeight="1" x14ac:dyDescent="0.4">
      <c r="A8" s="167">
        <v>5</v>
      </c>
      <c r="B8" s="248" t="str">
        <f>VLOOKUP(A8,U12組合せ!B14:K23,3,TRUE)</f>
        <v>ブラッドレスＳＣ</v>
      </c>
      <c r="C8" s="209" t="str">
        <f t="shared" si="8"/>
        <v/>
      </c>
      <c r="D8" s="179" t="str">
        <f>IF(V4="","",V4)</f>
        <v/>
      </c>
      <c r="E8" s="180" t="s">
        <v>343</v>
      </c>
      <c r="F8" s="181" t="str">
        <f>IF(T4="","",T4)</f>
        <v/>
      </c>
      <c r="G8" s="152" t="str">
        <f t="shared" si="14"/>
        <v>●</v>
      </c>
      <c r="H8" s="179">
        <f>IF(V5="","",V5)</f>
        <v>0</v>
      </c>
      <c r="I8" s="180" t="s">
        <v>343</v>
      </c>
      <c r="J8" s="181">
        <f>IF(T5="","",T5)</f>
        <v>3</v>
      </c>
      <c r="K8" s="152" t="str">
        <f t="shared" si="15"/>
        <v/>
      </c>
      <c r="L8" s="184" t="str">
        <f>IF(V6="","",V6)</f>
        <v/>
      </c>
      <c r="M8" s="174" t="s">
        <v>343</v>
      </c>
      <c r="N8" s="184" t="str">
        <f>IF(T6="","",T6)</f>
        <v/>
      </c>
      <c r="O8" s="152" t="str">
        <f t="shared" ref="O8:O13" si="16">IF(P8="","",(IF(P8-R8&gt;0,"○",IF(P8-R8&lt;0,"●","△"))))</f>
        <v>●</v>
      </c>
      <c r="P8" s="184">
        <f>IF(V7="","",V7)</f>
        <v>1</v>
      </c>
      <c r="Q8" s="174" t="s">
        <v>343</v>
      </c>
      <c r="R8" s="185">
        <f>IF(T7="","",T7)</f>
        <v>4</v>
      </c>
      <c r="S8" s="973"/>
      <c r="T8" s="971"/>
      <c r="U8" s="971"/>
      <c r="V8" s="972"/>
      <c r="W8" s="152" t="str">
        <f>IF(X8="","",(IF(X8-Z8&gt;0,"○",IF(X8-Z8&lt;0,"●","△"))))</f>
        <v>●</v>
      </c>
      <c r="X8" s="173">
        <f>IF(Ａブロック対戦表!Q45="","",Ａブロック対戦表!Q45)</f>
        <v>3</v>
      </c>
      <c r="Y8" s="174" t="s">
        <v>339</v>
      </c>
      <c r="Z8" s="175">
        <f>IF(Ａブロック対戦表!V45="","",Ａブロック対戦表!V45)</f>
        <v>5</v>
      </c>
      <c r="AA8" s="152" t="str">
        <f t="shared" si="0"/>
        <v>●</v>
      </c>
      <c r="AB8" s="172">
        <f>IF(Ａブロック対戦表!Q49="","",Ａブロック対戦表!Q49)</f>
        <v>0</v>
      </c>
      <c r="AC8" s="171" t="s">
        <v>339</v>
      </c>
      <c r="AD8" s="172">
        <f>IF(Ａブロック対戦表!V49="","",Ａブロック対戦表!V49)</f>
        <v>7</v>
      </c>
      <c r="AE8" s="152" t="str">
        <f t="shared" si="1"/>
        <v>●</v>
      </c>
      <c r="AF8" s="173">
        <f>IF(Ａブロック対戦表!Q109="","",Ａブロック対戦表!Q109)</f>
        <v>2</v>
      </c>
      <c r="AG8" s="174" t="s">
        <v>339</v>
      </c>
      <c r="AH8" s="175">
        <f>IF(Ａブロック対戦表!V109="","",Ａブロック対戦表!V109)</f>
        <v>6</v>
      </c>
      <c r="AI8" s="152" t="str">
        <f t="shared" si="2"/>
        <v>●</v>
      </c>
      <c r="AJ8" s="173">
        <f>IF(Ａブロック対戦表!V203="","",Ａブロック対戦表!$V203)</f>
        <v>0</v>
      </c>
      <c r="AK8" s="174" t="s">
        <v>339</v>
      </c>
      <c r="AL8" s="175">
        <f>IF(Ａブロック対戦表!$Q203="","",Ａブロック対戦表!Q203)</f>
        <v>4</v>
      </c>
      <c r="AM8" s="152" t="str">
        <f t="shared" si="3"/>
        <v/>
      </c>
      <c r="AN8" s="173" t="str">
        <f>IF(Ａブロック対戦表!$V$421="","",Ａブロック対戦表!$V421)</f>
        <v/>
      </c>
      <c r="AO8" s="174" t="s">
        <v>339</v>
      </c>
      <c r="AP8" s="187" t="str">
        <f>IF(Ａブロック対戦表!$Q421="","",Ａブロック対戦表!$Q421)</f>
        <v/>
      </c>
      <c r="AQ8" s="159">
        <f t="shared" si="4"/>
        <v>6</v>
      </c>
      <c r="AR8" s="160">
        <f t="shared" si="5"/>
        <v>0</v>
      </c>
      <c r="AS8" s="160">
        <f t="shared" si="9"/>
        <v>0</v>
      </c>
      <c r="AT8" s="160">
        <f t="shared" si="10"/>
        <v>6</v>
      </c>
      <c r="AU8" s="244">
        <f t="shared" si="11"/>
        <v>0</v>
      </c>
      <c r="AV8" s="380">
        <f t="shared" si="6"/>
        <v>-23</v>
      </c>
      <c r="AW8" s="381">
        <f t="shared" si="12"/>
        <v>6</v>
      </c>
      <c r="AX8" s="164">
        <f t="shared" si="13"/>
        <v>10</v>
      </c>
      <c r="AY8" s="165">
        <f t="shared" si="7"/>
        <v>-2294</v>
      </c>
    </row>
    <row r="9" spans="1:51" ht="25.5" customHeight="1" x14ac:dyDescent="0.4">
      <c r="A9" s="167">
        <v>6</v>
      </c>
      <c r="B9" s="248" t="str">
        <f>VLOOKUP(A9,U12組合せ!B15:K24,3,TRUE)</f>
        <v>Ｓ４スペランツァ</v>
      </c>
      <c r="C9" s="209" t="str">
        <f t="shared" si="8"/>
        <v>●</v>
      </c>
      <c r="D9" s="179">
        <f>IF(Z4="","",Z4)</f>
        <v>1</v>
      </c>
      <c r="E9" s="180" t="s">
        <v>343</v>
      </c>
      <c r="F9" s="181">
        <f>IF(X4="","",X4)</f>
        <v>3</v>
      </c>
      <c r="G9" s="152" t="str">
        <f t="shared" si="14"/>
        <v>○</v>
      </c>
      <c r="H9" s="179">
        <f>IF(Z5="","",Z5)</f>
        <v>2</v>
      </c>
      <c r="I9" s="180" t="s">
        <v>343</v>
      </c>
      <c r="J9" s="181">
        <f>IF(X5="","",X5)</f>
        <v>0</v>
      </c>
      <c r="K9" s="152" t="str">
        <f t="shared" si="15"/>
        <v/>
      </c>
      <c r="L9" s="184" t="str">
        <f>IF(Z6="","",Z6)</f>
        <v/>
      </c>
      <c r="M9" s="174" t="s">
        <v>343</v>
      </c>
      <c r="N9" s="184" t="str">
        <f>IF(X6="","",X6)</f>
        <v/>
      </c>
      <c r="O9" s="152" t="str">
        <f t="shared" si="16"/>
        <v/>
      </c>
      <c r="P9" s="184" t="str">
        <f>IF(Z7="","",Z7)</f>
        <v/>
      </c>
      <c r="Q9" s="174" t="s">
        <v>343</v>
      </c>
      <c r="R9" s="185" t="str">
        <f>IF(X7="","",X7)</f>
        <v/>
      </c>
      <c r="S9" s="152" t="str">
        <f>IF(T9="","",(IF(T9-V9&gt;0,"○",IF(T9-V9&lt;0,"●","△"))))</f>
        <v>○</v>
      </c>
      <c r="T9" s="184">
        <f>IF(Z8="","",Z8)</f>
        <v>5</v>
      </c>
      <c r="U9" s="174" t="s">
        <v>343</v>
      </c>
      <c r="V9" s="185">
        <f>IF(X8="","",X8)</f>
        <v>3</v>
      </c>
      <c r="W9" s="973"/>
      <c r="X9" s="971"/>
      <c r="Y9" s="971"/>
      <c r="Z9" s="972"/>
      <c r="AA9" s="152" t="str">
        <f t="shared" si="0"/>
        <v>△</v>
      </c>
      <c r="AB9" s="176">
        <f>IF(Ａブロック対戦表!Q47="","",Ａブロック対戦表!Q47)</f>
        <v>2</v>
      </c>
      <c r="AC9" s="174" t="s">
        <v>339</v>
      </c>
      <c r="AD9" s="176">
        <f>IF(Ａブロック対戦表!V47="","",Ａブロック対戦表!V47)</f>
        <v>2</v>
      </c>
      <c r="AE9" s="152" t="str">
        <f t="shared" si="1"/>
        <v/>
      </c>
      <c r="AF9" s="172" t="str">
        <f>IF(Ａブロック対戦表!$Q330="","",Ａブロック対戦表!$Q330)</f>
        <v/>
      </c>
      <c r="AG9" s="171" t="s">
        <v>339</v>
      </c>
      <c r="AH9" s="172" t="str">
        <f>IF(Ａブロック対戦表!$V330="","",Ａブロック対戦表!$V330)</f>
        <v/>
      </c>
      <c r="AI9" s="152" t="str">
        <f t="shared" si="2"/>
        <v>○</v>
      </c>
      <c r="AJ9" s="173">
        <f>IF(Ａブロック対戦表!Q143="","",Ａブロック対戦表!Q143)</f>
        <v>5</v>
      </c>
      <c r="AK9" s="174" t="s">
        <v>339</v>
      </c>
      <c r="AL9" s="175">
        <f>IF(Ａブロック対戦表!V143="","",Ａブロック対戦表!$V143)</f>
        <v>0</v>
      </c>
      <c r="AM9" s="152" t="str">
        <f t="shared" si="3"/>
        <v>○</v>
      </c>
      <c r="AN9" s="173">
        <f>IF(Ａブロック対戦表!$V$235="","",Ａブロック対戦表!$V235)</f>
        <v>3</v>
      </c>
      <c r="AO9" s="174" t="s">
        <v>339</v>
      </c>
      <c r="AP9" s="187">
        <f>IF(Ａブロック対戦表!Q235="","",Ａブロック対戦表!Q235)</f>
        <v>2</v>
      </c>
      <c r="AQ9" s="159">
        <f t="shared" si="4"/>
        <v>6</v>
      </c>
      <c r="AR9" s="160">
        <f t="shared" si="5"/>
        <v>13</v>
      </c>
      <c r="AS9" s="160">
        <f t="shared" si="9"/>
        <v>4</v>
      </c>
      <c r="AT9" s="160">
        <f t="shared" si="10"/>
        <v>1</v>
      </c>
      <c r="AU9" s="244">
        <f t="shared" si="11"/>
        <v>1</v>
      </c>
      <c r="AV9" s="380">
        <f t="shared" si="6"/>
        <v>8</v>
      </c>
      <c r="AW9" s="381">
        <f t="shared" si="12"/>
        <v>18</v>
      </c>
      <c r="AX9" s="164">
        <f t="shared" si="13"/>
        <v>3</v>
      </c>
      <c r="AY9" s="165">
        <f t="shared" si="7"/>
        <v>130818</v>
      </c>
    </row>
    <row r="10" spans="1:51" ht="25.5" customHeight="1" x14ac:dyDescent="0.4">
      <c r="A10" s="167">
        <v>7</v>
      </c>
      <c r="B10" s="248" t="str">
        <f>VLOOKUP(A10,U12組合せ!B16:K25,3,TRUE)</f>
        <v>上河内ＪＳＣ</v>
      </c>
      <c r="C10" s="209" t="str">
        <f t="shared" si="8"/>
        <v/>
      </c>
      <c r="D10" s="179" t="str">
        <f>IF(AD4="","",AD4)</f>
        <v/>
      </c>
      <c r="E10" s="180" t="s">
        <v>343</v>
      </c>
      <c r="F10" s="181" t="str">
        <f>IF(AB4="","",AB4)</f>
        <v/>
      </c>
      <c r="G10" s="152" t="str">
        <f t="shared" si="14"/>
        <v/>
      </c>
      <c r="H10" s="179" t="str">
        <f>IF(AD5="","",AD5)</f>
        <v/>
      </c>
      <c r="I10" s="180" t="s">
        <v>343</v>
      </c>
      <c r="J10" s="181" t="str">
        <f>IF(AB5="","",AB5)</f>
        <v/>
      </c>
      <c r="K10" s="152" t="str">
        <f t="shared" si="15"/>
        <v>●</v>
      </c>
      <c r="L10" s="184">
        <f>IF(AD6="","",AD6)</f>
        <v>1</v>
      </c>
      <c r="M10" s="174" t="s">
        <v>343</v>
      </c>
      <c r="N10" s="184">
        <f>IF(AB6="","",AB6)</f>
        <v>6</v>
      </c>
      <c r="O10" s="152" t="str">
        <f t="shared" si="16"/>
        <v>○</v>
      </c>
      <c r="P10" s="184">
        <f>IF(AD7="","",AD7)</f>
        <v>3</v>
      </c>
      <c r="Q10" s="174" t="s">
        <v>343</v>
      </c>
      <c r="R10" s="185">
        <f>IF(AB7="","",AB7)</f>
        <v>0</v>
      </c>
      <c r="S10" s="152" t="str">
        <f>IF(T10="","",(IF(T10-V10&gt;0,"○",IF(T10-V10&lt;0,"●","△"))))</f>
        <v>○</v>
      </c>
      <c r="T10" s="184">
        <f>IF(AD8="","",AD8)</f>
        <v>7</v>
      </c>
      <c r="U10" s="174" t="s">
        <v>343</v>
      </c>
      <c r="V10" s="185">
        <f>IF(AB8="","",AB8)</f>
        <v>0</v>
      </c>
      <c r="W10" s="152" t="str">
        <f>IF(X10="","",(IF(X10-Z10&gt;0,"○",IF(X10-Z10&lt;0,"●","△"))))</f>
        <v>△</v>
      </c>
      <c r="X10" s="184">
        <f>IF(AD9="","",AD9)</f>
        <v>2</v>
      </c>
      <c r="Y10" s="174" t="s">
        <v>343</v>
      </c>
      <c r="Z10" s="185">
        <f>IF(AB9="","",AB9)</f>
        <v>2</v>
      </c>
      <c r="AA10" s="973"/>
      <c r="AB10" s="971"/>
      <c r="AC10" s="971"/>
      <c r="AD10" s="972"/>
      <c r="AE10" s="152" t="str">
        <f t="shared" si="1"/>
        <v>●</v>
      </c>
      <c r="AF10" s="154">
        <f>IF(Ａブロック対戦表!V266="","",Ａブロック対戦表!V266)</f>
        <v>2</v>
      </c>
      <c r="AG10" s="171" t="s">
        <v>339</v>
      </c>
      <c r="AH10" s="154">
        <f>IF(Ａブロック対戦表!Q266="","",Ａブロック対戦表!Q266)</f>
        <v>4</v>
      </c>
      <c r="AI10" s="183" t="str">
        <f t="shared" si="2"/>
        <v/>
      </c>
      <c r="AJ10" s="188" t="str">
        <f>IF(Ａブロック対戦表!V297="","",Ａブロック対戦表!V297)</f>
        <v/>
      </c>
      <c r="AK10" s="171" t="s">
        <v>339</v>
      </c>
      <c r="AL10" s="175" t="str">
        <f>IF(Ａブロック対戦表!Q297="","",Ａブロック対戦表!Q297)</f>
        <v/>
      </c>
      <c r="AM10" s="183" t="str">
        <f t="shared" si="3"/>
        <v>●</v>
      </c>
      <c r="AN10" s="188">
        <f>IF(Ａブロック対戦表!V172="","",Ａブロック対戦表!$V172)</f>
        <v>0</v>
      </c>
      <c r="AO10" s="171" t="s">
        <v>339</v>
      </c>
      <c r="AP10" s="187">
        <f>IF(Ａブロック対戦表!$Q172="","",Ａブロック対戦表!$Q172)</f>
        <v>4</v>
      </c>
      <c r="AQ10" s="159">
        <f t="shared" si="4"/>
        <v>6</v>
      </c>
      <c r="AR10" s="160">
        <f t="shared" si="5"/>
        <v>7</v>
      </c>
      <c r="AS10" s="160">
        <f t="shared" si="9"/>
        <v>2</v>
      </c>
      <c r="AT10" s="160">
        <f t="shared" si="10"/>
        <v>3</v>
      </c>
      <c r="AU10" s="244">
        <f t="shared" si="11"/>
        <v>1</v>
      </c>
      <c r="AV10" s="380">
        <f t="shared" si="6"/>
        <v>-1</v>
      </c>
      <c r="AW10" s="381">
        <f t="shared" si="12"/>
        <v>15</v>
      </c>
      <c r="AX10" s="164">
        <f t="shared" si="13"/>
        <v>6</v>
      </c>
      <c r="AY10" s="165">
        <f t="shared" si="7"/>
        <v>69915</v>
      </c>
    </row>
    <row r="11" spans="1:51" ht="25.5" customHeight="1" x14ac:dyDescent="0.4">
      <c r="A11" s="167">
        <v>8</v>
      </c>
      <c r="B11" s="248" t="str">
        <f>VLOOKUP(A11,U12組合せ!B17:K26,3,TRUE)</f>
        <v>国本ＪＳＣ</v>
      </c>
      <c r="C11" s="209" t="str">
        <f t="shared" si="8"/>
        <v>△</v>
      </c>
      <c r="D11" s="179">
        <f>IF(AH4="","",AH4)</f>
        <v>2</v>
      </c>
      <c r="E11" s="180" t="s">
        <v>343</v>
      </c>
      <c r="F11" s="181">
        <f>IF(AF4="","",AF4)</f>
        <v>2</v>
      </c>
      <c r="G11" s="152" t="str">
        <f t="shared" si="14"/>
        <v/>
      </c>
      <c r="H11" s="179" t="str">
        <f>IF(AH5="","",AH5)</f>
        <v/>
      </c>
      <c r="I11" s="180" t="s">
        <v>343</v>
      </c>
      <c r="J11" s="181" t="str">
        <f>IF(AF5="","",AF5)</f>
        <v/>
      </c>
      <c r="K11" s="152" t="str">
        <f t="shared" si="15"/>
        <v/>
      </c>
      <c r="L11" s="184" t="str">
        <f>IF(AH6="","",AH6)</f>
        <v/>
      </c>
      <c r="M11" s="174" t="s">
        <v>343</v>
      </c>
      <c r="N11" s="184" t="str">
        <f>IF(AF6="","",AF6)</f>
        <v/>
      </c>
      <c r="O11" s="152" t="str">
        <f t="shared" si="16"/>
        <v>○</v>
      </c>
      <c r="P11" s="184">
        <f>IF(AH7="","",AH7)</f>
        <v>5</v>
      </c>
      <c r="Q11" s="174" t="s">
        <v>343</v>
      </c>
      <c r="R11" s="185">
        <f>IF(AF7="","",AF7)</f>
        <v>0</v>
      </c>
      <c r="S11" s="152" t="str">
        <f>IF(T11="","",(IF(T11-V11&gt;0,"○",IF(T11-V11&lt;0,"●","△"))))</f>
        <v>○</v>
      </c>
      <c r="T11" s="184">
        <f>IF(AH8="","",AH8)</f>
        <v>6</v>
      </c>
      <c r="U11" s="174" t="s">
        <v>343</v>
      </c>
      <c r="V11" s="185">
        <f>IF(AF8="","",AF8)</f>
        <v>2</v>
      </c>
      <c r="W11" s="152" t="str">
        <f>IF(X11="","",(IF(X11-Z11&gt;0,"○",IF(X11-Z11&lt;0,"●","△"))))</f>
        <v/>
      </c>
      <c r="X11" s="184" t="str">
        <f>IF(AH9="","",AH9)</f>
        <v/>
      </c>
      <c r="Y11" s="174" t="s">
        <v>343</v>
      </c>
      <c r="Z11" s="185" t="str">
        <f>IF(AF9="","",AF9)</f>
        <v/>
      </c>
      <c r="AA11" s="152" t="str">
        <f>IF(AB11="","",(IF(AB11-AD11&gt;0,"○",IF(AB11-AD11&lt;0,"●","△"))))</f>
        <v>○</v>
      </c>
      <c r="AB11" s="184">
        <f>IF(AH10="","",AH10)</f>
        <v>4</v>
      </c>
      <c r="AC11" s="174" t="s">
        <v>343</v>
      </c>
      <c r="AD11" s="185">
        <f>IF(AF10="","",AF10)</f>
        <v>2</v>
      </c>
      <c r="AE11" s="973"/>
      <c r="AF11" s="971"/>
      <c r="AG11" s="971"/>
      <c r="AH11" s="972"/>
      <c r="AI11" s="183" t="str">
        <f t="shared" si="2"/>
        <v>○</v>
      </c>
      <c r="AJ11" s="188">
        <f>IF(Ａブロック対戦表!Q76="","",Ａブロック対戦表!Q76)</f>
        <v>5</v>
      </c>
      <c r="AK11" s="171" t="s">
        <v>339</v>
      </c>
      <c r="AL11" s="175">
        <f>IF(Ａブロック対戦表!V76="","",Ａブロック対戦表!V76)</f>
        <v>0</v>
      </c>
      <c r="AM11" s="183" t="str">
        <f t="shared" si="3"/>
        <v>○</v>
      </c>
      <c r="AN11" s="188">
        <f>IF(Ａブロック対戦表!V80="","",Ａブロック対戦表!V80)</f>
        <v>4</v>
      </c>
      <c r="AO11" s="171" t="s">
        <v>339</v>
      </c>
      <c r="AP11" s="187">
        <f>IF(Ａブロック対戦表!Q80="","",Ａブロック対戦表!Q80)</f>
        <v>1</v>
      </c>
      <c r="AQ11" s="159">
        <f t="shared" si="4"/>
        <v>6</v>
      </c>
      <c r="AR11" s="160">
        <f t="shared" si="5"/>
        <v>16</v>
      </c>
      <c r="AS11" s="160">
        <f t="shared" si="9"/>
        <v>5</v>
      </c>
      <c r="AT11" s="160">
        <f t="shared" si="10"/>
        <v>0</v>
      </c>
      <c r="AU11" s="244">
        <f t="shared" si="11"/>
        <v>1</v>
      </c>
      <c r="AV11" s="380">
        <f t="shared" si="6"/>
        <v>19</v>
      </c>
      <c r="AW11" s="381">
        <f t="shared" si="12"/>
        <v>26</v>
      </c>
      <c r="AX11" s="164">
        <f t="shared" si="13"/>
        <v>1</v>
      </c>
      <c r="AY11" s="165">
        <f t="shared" si="7"/>
        <v>161926</v>
      </c>
    </row>
    <row r="12" spans="1:51" ht="25.5" customHeight="1" x14ac:dyDescent="0.4">
      <c r="A12" s="167">
        <v>9</v>
      </c>
      <c r="B12" s="248" t="str">
        <f>VLOOKUP(A12,U12組合せ!B18:K27,3,TRUE)</f>
        <v>本郷北ＦＣ</v>
      </c>
      <c r="C12" s="211" t="str">
        <f t="shared" si="8"/>
        <v/>
      </c>
      <c r="D12" s="224" t="str">
        <f>IF(AL4="","",AL4)</f>
        <v/>
      </c>
      <c r="E12" s="225" t="s">
        <v>343</v>
      </c>
      <c r="F12" s="226" t="str">
        <f>IF(AJ4="","",AJ4)</f>
        <v/>
      </c>
      <c r="G12" s="183" t="str">
        <f t="shared" si="14"/>
        <v>●</v>
      </c>
      <c r="H12" s="224">
        <f>IF(AL5="","",AL5)</f>
        <v>2</v>
      </c>
      <c r="I12" s="225" t="s">
        <v>343</v>
      </c>
      <c r="J12" s="226">
        <f>IF(AJ5="","",AJ5)</f>
        <v>3</v>
      </c>
      <c r="K12" s="183" t="str">
        <f t="shared" si="15"/>
        <v>●</v>
      </c>
      <c r="L12" s="184">
        <f>IF(AL6="","",AL6)</f>
        <v>0</v>
      </c>
      <c r="M12" s="174" t="s">
        <v>343</v>
      </c>
      <c r="N12" s="184">
        <f>IF(AJ6="","",AJ6)</f>
        <v>3</v>
      </c>
      <c r="O12" s="183" t="str">
        <f t="shared" si="16"/>
        <v/>
      </c>
      <c r="P12" s="184" t="str">
        <f>IF(AL7="","",AL7)</f>
        <v/>
      </c>
      <c r="Q12" s="174" t="s">
        <v>343</v>
      </c>
      <c r="R12" s="185" t="str">
        <f>IF(AJ7="","",AJ7)</f>
        <v/>
      </c>
      <c r="S12" s="183" t="str">
        <f>IF(T12="","",(IF(T12-V12&gt;0,"○",IF(T12-V12&lt;0,"●","△"))))</f>
        <v>○</v>
      </c>
      <c r="T12" s="184">
        <f>IF(AL8="","",AL8)</f>
        <v>4</v>
      </c>
      <c r="U12" s="174" t="s">
        <v>343</v>
      </c>
      <c r="V12" s="185">
        <f>IF(AJ8="","",AJ8)</f>
        <v>0</v>
      </c>
      <c r="W12" s="183" t="str">
        <f>IF(X12="","",(IF(X12-Z12&gt;0,"○",IF(X12-Z12&lt;0,"●","△"))))</f>
        <v>●</v>
      </c>
      <c r="X12" s="184">
        <f>IF(AL9="","",AL9)</f>
        <v>0</v>
      </c>
      <c r="Y12" s="174" t="s">
        <v>343</v>
      </c>
      <c r="Z12" s="185">
        <f>IF(AJ9="","",AJ9)</f>
        <v>5</v>
      </c>
      <c r="AA12" s="183" t="str">
        <f>IF(AB12="","",(IF(AB12-AD12&gt;0,"○",IF(AB12-AD12&lt;0,"●","△"))))</f>
        <v/>
      </c>
      <c r="AB12" s="184" t="str">
        <f>IF(AL10="","",AL10)</f>
        <v/>
      </c>
      <c r="AC12" s="174" t="s">
        <v>343</v>
      </c>
      <c r="AD12" s="185" t="str">
        <f>IF(AJ10="","",AJ10)</f>
        <v/>
      </c>
      <c r="AE12" s="183" t="str">
        <f>IF(AF12="","",(IF(AF12-AH12&gt;0,"○",IF(AF12-AH12&lt;0,"●","△"))))</f>
        <v>●</v>
      </c>
      <c r="AF12" s="184">
        <f>IF(AL11="","",AL11)</f>
        <v>0</v>
      </c>
      <c r="AG12" s="174" t="s">
        <v>343</v>
      </c>
      <c r="AH12" s="185">
        <f>IF(AJ11="","",AJ11)</f>
        <v>5</v>
      </c>
      <c r="AI12" s="973"/>
      <c r="AJ12" s="971"/>
      <c r="AK12" s="971"/>
      <c r="AL12" s="972"/>
      <c r="AM12" s="183" t="str">
        <f>IF(AN12="","",(IF(AN12-AP12&gt;0,"○",IF(AN12-AP12&lt;0,"●","△"))))</f>
        <v>△</v>
      </c>
      <c r="AN12" s="188">
        <f>IF(Ａブロック対戦表!V78="","",Ａブロック対戦表!V78)</f>
        <v>2</v>
      </c>
      <c r="AO12" s="171" t="s">
        <v>339</v>
      </c>
      <c r="AP12" s="187">
        <f>IF(Ａブロック対戦表!Q78="","",Ａブロック対戦表!Q78)</f>
        <v>2</v>
      </c>
      <c r="AQ12" s="227">
        <f t="shared" si="4"/>
        <v>6</v>
      </c>
      <c r="AR12" s="228">
        <f t="shared" si="5"/>
        <v>4</v>
      </c>
      <c r="AS12" s="160">
        <f t="shared" si="9"/>
        <v>1</v>
      </c>
      <c r="AT12" s="160">
        <f t="shared" si="10"/>
        <v>4</v>
      </c>
      <c r="AU12" s="244">
        <f t="shared" si="11"/>
        <v>1</v>
      </c>
      <c r="AV12" s="380">
        <f t="shared" si="6"/>
        <v>-10</v>
      </c>
      <c r="AW12" s="381">
        <f t="shared" si="12"/>
        <v>8</v>
      </c>
      <c r="AX12" s="164">
        <f t="shared" si="13"/>
        <v>9</v>
      </c>
      <c r="AY12" s="165">
        <f t="shared" si="7"/>
        <v>39008</v>
      </c>
    </row>
    <row r="13" spans="1:51" ht="25.5" customHeight="1" thickBot="1" x14ac:dyDescent="0.45">
      <c r="A13" s="213">
        <v>10</v>
      </c>
      <c r="B13" s="249" t="str">
        <f>VLOOKUP(A13,U12組合せ!B19:K28,3,TRUE)</f>
        <v>FCアネーロ・U-12</v>
      </c>
      <c r="C13" s="246" t="str">
        <f>IF(D13="","",(IF(D13-F13&gt;0,"○",IF(D13-F13&lt;0,"●","△"))))</f>
        <v>○</v>
      </c>
      <c r="D13" s="219">
        <f>IF(AP4="","",AP4)</f>
        <v>4</v>
      </c>
      <c r="E13" s="220" t="s">
        <v>343</v>
      </c>
      <c r="F13" s="221">
        <f>IF(AN4="","",AN4)</f>
        <v>2</v>
      </c>
      <c r="G13" s="189" t="str">
        <f>IF(H13="","",(IF(H13-J13&gt;0,"○",IF(H13-J13&lt;0,"●","△"))))</f>
        <v/>
      </c>
      <c r="H13" s="219" t="str">
        <f>IF(AP5="","",AP5)</f>
        <v/>
      </c>
      <c r="I13" s="220" t="s">
        <v>343</v>
      </c>
      <c r="J13" s="221" t="str">
        <f>IF(AN5="","",AN5)</f>
        <v/>
      </c>
      <c r="K13" s="189" t="str">
        <f>IF(L13="","",(IF(L13-N13&gt;0,"○",IF(L13-N13&lt;0,"●","△"))))</f>
        <v>●</v>
      </c>
      <c r="L13" s="219">
        <f>IF(AP6="","",AP6)</f>
        <v>1</v>
      </c>
      <c r="M13" s="220" t="s">
        <v>343</v>
      </c>
      <c r="N13" s="219">
        <f>IF(AN6="","",AN6)</f>
        <v>2</v>
      </c>
      <c r="O13" s="189" t="str">
        <f t="shared" si="16"/>
        <v/>
      </c>
      <c r="P13" s="219" t="str">
        <f>IF(AP7="","",AP7)</f>
        <v/>
      </c>
      <c r="Q13" s="220" t="s">
        <v>343</v>
      </c>
      <c r="R13" s="221" t="str">
        <f>IF(AN7="","",AN7)</f>
        <v/>
      </c>
      <c r="S13" s="189" t="str">
        <f>IF(T13="","",(IF(T13-V13&gt;0,"○",IF(T13-V13&lt;0,"●","△"))))</f>
        <v/>
      </c>
      <c r="T13" s="219" t="str">
        <f>IF(AP8="","",AP8)</f>
        <v/>
      </c>
      <c r="U13" s="220" t="s">
        <v>343</v>
      </c>
      <c r="V13" s="221" t="str">
        <f>IF(AN8="","",AN8)</f>
        <v/>
      </c>
      <c r="W13" s="189" t="str">
        <f>IF(X13="","",(IF(X13-Z13&gt;0,"○",IF(X13-Z13&lt;0,"●","△"))))</f>
        <v>●</v>
      </c>
      <c r="X13" s="219">
        <f>IF(AP9="","",AP9)</f>
        <v>2</v>
      </c>
      <c r="Y13" s="220" t="s">
        <v>343</v>
      </c>
      <c r="Z13" s="221">
        <f>IF(AN9="","",AN9)</f>
        <v>3</v>
      </c>
      <c r="AA13" s="189" t="str">
        <f>IF(AB13="","",(IF(AB13-AD13&gt;0,"○",IF(AB13-AD13&lt;0,"●","△"))))</f>
        <v>○</v>
      </c>
      <c r="AB13" s="219">
        <f>IF(AP10="","",AP10)</f>
        <v>4</v>
      </c>
      <c r="AC13" s="220" t="s">
        <v>343</v>
      </c>
      <c r="AD13" s="221">
        <f>IF(AN10="","",AN10)</f>
        <v>0</v>
      </c>
      <c r="AE13" s="189" t="str">
        <f>IF(AF13="","",(IF(AF13-AH13&gt;0,"○",IF(AF13-AH13&lt;0,"●","△"))))</f>
        <v>●</v>
      </c>
      <c r="AF13" s="219">
        <f>IF(AP11="","",AP11)</f>
        <v>1</v>
      </c>
      <c r="AG13" s="220" t="s">
        <v>343</v>
      </c>
      <c r="AH13" s="221">
        <f>IF(AN11="","",AN11)</f>
        <v>4</v>
      </c>
      <c r="AI13" s="189" t="str">
        <f>IF(AJ13="","",(IF(AJ13-AL13&gt;0,"○",IF(AJ13-AL13&lt;0,"●","△"))))</f>
        <v>△</v>
      </c>
      <c r="AJ13" s="219">
        <f>IF(AP12="","",AP12)</f>
        <v>2</v>
      </c>
      <c r="AK13" s="220" t="s">
        <v>343</v>
      </c>
      <c r="AL13" s="221">
        <f>IF(AN12="","",AN12)</f>
        <v>2</v>
      </c>
      <c r="AM13" s="985"/>
      <c r="AN13" s="986"/>
      <c r="AO13" s="986"/>
      <c r="AP13" s="987"/>
      <c r="AQ13" s="222">
        <f>SUM(AS13:AU13)</f>
        <v>6</v>
      </c>
      <c r="AR13" s="191">
        <f>AS13*3+AU13</f>
        <v>7</v>
      </c>
      <c r="AS13" s="191">
        <f t="shared" si="9"/>
        <v>2</v>
      </c>
      <c r="AT13" s="191">
        <f t="shared" si="10"/>
        <v>3</v>
      </c>
      <c r="AU13" s="245">
        <f t="shared" si="11"/>
        <v>1</v>
      </c>
      <c r="AV13" s="382">
        <f t="shared" si="6"/>
        <v>1</v>
      </c>
      <c r="AW13" s="383">
        <f t="shared" si="12"/>
        <v>14</v>
      </c>
      <c r="AX13" s="195">
        <f t="shared" si="13"/>
        <v>5</v>
      </c>
      <c r="AY13" s="165">
        <f>AR13*10000+AV13*100+AW13</f>
        <v>70114</v>
      </c>
    </row>
    <row r="14" spans="1:51" ht="25.5" customHeight="1" x14ac:dyDescent="0.4">
      <c r="A14" s="196"/>
      <c r="B14" s="197"/>
      <c r="C14" s="198"/>
      <c r="D14" s="199"/>
      <c r="E14" s="198"/>
      <c r="F14" s="199"/>
      <c r="G14" s="198"/>
      <c r="H14" s="199"/>
      <c r="I14" s="198"/>
      <c r="J14" s="199"/>
      <c r="K14" s="198"/>
      <c r="L14" s="199"/>
      <c r="M14" s="198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8"/>
      <c r="AF14" s="199"/>
      <c r="AG14" s="198"/>
      <c r="AH14" s="199"/>
      <c r="AI14" s="199"/>
      <c r="AJ14" s="199"/>
      <c r="AK14" s="199"/>
      <c r="AL14" s="199"/>
      <c r="AM14" s="200"/>
      <c r="AN14" s="200"/>
      <c r="AO14" s="200"/>
      <c r="AP14" s="200"/>
      <c r="AQ14" s="201"/>
      <c r="AR14" s="201"/>
      <c r="AS14" s="201"/>
      <c r="AT14" s="201"/>
      <c r="AU14" s="201"/>
      <c r="AV14" s="202"/>
      <c r="AW14" s="202"/>
      <c r="AX14" s="203"/>
      <c r="AY14" s="165"/>
    </row>
    <row r="15" spans="1:51" ht="27.75" customHeight="1" x14ac:dyDescent="0.4">
      <c r="C15" s="204"/>
      <c r="E15" s="205" t="s">
        <v>346</v>
      </c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</row>
    <row r="16" spans="1:51" ht="15" customHeight="1" thickBot="1" x14ac:dyDescent="0.45">
      <c r="B16" s="206"/>
      <c r="C16" s="204"/>
      <c r="G16" s="204"/>
    </row>
    <row r="17" spans="1:52" s="149" customFormat="1" ht="20.25" customHeight="1" thickBot="1" x14ac:dyDescent="0.45">
      <c r="A17" s="142"/>
      <c r="B17" s="247" t="s">
        <v>376</v>
      </c>
      <c r="C17" s="969" t="str">
        <f>B18</f>
        <v>スポルト宇都宮U12</v>
      </c>
      <c r="D17" s="969"/>
      <c r="E17" s="969"/>
      <c r="F17" s="970"/>
      <c r="G17" s="968" t="str">
        <f>B19</f>
        <v>ウエストフットコム</v>
      </c>
      <c r="H17" s="969"/>
      <c r="I17" s="969"/>
      <c r="J17" s="970"/>
      <c r="K17" s="968" t="str">
        <f>B20</f>
        <v>緑ヶ丘ＹＦＣ</v>
      </c>
      <c r="L17" s="969"/>
      <c r="M17" s="969"/>
      <c r="N17" s="970"/>
      <c r="O17" s="968" t="str">
        <f>B21</f>
        <v>昭和・戸祭SC</v>
      </c>
      <c r="P17" s="969"/>
      <c r="Q17" s="969"/>
      <c r="R17" s="970"/>
      <c r="S17" s="974" t="str">
        <f>B22</f>
        <v>岡西FC</v>
      </c>
      <c r="T17" s="975"/>
      <c r="U17" s="975"/>
      <c r="V17" s="976"/>
      <c r="W17" s="968" t="str">
        <f>B23</f>
        <v>FCグラシアス</v>
      </c>
      <c r="X17" s="969"/>
      <c r="Y17" s="969"/>
      <c r="Z17" s="975"/>
      <c r="AA17" s="977" t="str">
        <f>B24</f>
        <v>上三川SC</v>
      </c>
      <c r="AB17" s="977"/>
      <c r="AC17" s="977"/>
      <c r="AD17" s="976"/>
      <c r="AE17" s="968" t="str">
        <f>B25</f>
        <v>宇都宮FCジュニア</v>
      </c>
      <c r="AF17" s="969"/>
      <c r="AG17" s="969"/>
      <c r="AH17" s="970"/>
      <c r="AI17" s="968" t="str">
        <f>B26</f>
        <v>サウス宇都宮SC</v>
      </c>
      <c r="AJ17" s="969"/>
      <c r="AK17" s="969"/>
      <c r="AL17" s="970"/>
      <c r="AM17" s="969">
        <f>B27</f>
        <v>0</v>
      </c>
      <c r="AN17" s="969"/>
      <c r="AO17" s="969"/>
      <c r="AP17" s="984"/>
      <c r="AQ17" s="144" t="s">
        <v>14</v>
      </c>
      <c r="AR17" s="145" t="s">
        <v>344</v>
      </c>
      <c r="AS17" s="145" t="s">
        <v>335</v>
      </c>
      <c r="AT17" s="145" t="s">
        <v>336</v>
      </c>
      <c r="AU17" s="146" t="s">
        <v>337</v>
      </c>
      <c r="AV17" s="232" t="s">
        <v>338</v>
      </c>
      <c r="AW17" s="147" t="s">
        <v>341</v>
      </c>
      <c r="AX17" s="148" t="s">
        <v>378</v>
      </c>
      <c r="AZ17" s="266" t="s">
        <v>377</v>
      </c>
    </row>
    <row r="18" spans="1:52" ht="25.5" customHeight="1" thickTop="1" x14ac:dyDescent="0.4">
      <c r="A18" s="150">
        <v>1</v>
      </c>
      <c r="B18" s="248" t="str">
        <f>VLOOKUP(A18,U12組合せ!B$10:K$20,5,TRUE)</f>
        <v>スポルト宇都宮U12</v>
      </c>
      <c r="C18" s="979"/>
      <c r="D18" s="979"/>
      <c r="E18" s="979"/>
      <c r="F18" s="980"/>
      <c r="G18" s="152" t="str">
        <f>IF(H18="","",(IF(H18-J18&gt;0,"○",IF(H18-J18&lt;0,"●","△"))))</f>
        <v>●</v>
      </c>
      <c r="H18" s="234">
        <f>IF(Bブロック対戦表!Q13="","",Bブロック対戦表!Q13)</f>
        <v>0</v>
      </c>
      <c r="I18" s="153" t="s">
        <v>343</v>
      </c>
      <c r="J18" s="154">
        <f>IF(Bブロック対戦表!$V13="","",Bブロック対戦表!$V13)</f>
        <v>4</v>
      </c>
      <c r="K18" s="155" t="str">
        <f>IF(L18="","",(IF(L18-N18&gt;0,"○",IF(L18-N18&lt;0,"●","△"))))</f>
        <v>○</v>
      </c>
      <c r="L18" s="235">
        <f>IF(Bブロック対戦表!V17="","",Bブロック対戦表!V17)</f>
        <v>1</v>
      </c>
      <c r="M18" s="153" t="s">
        <v>343</v>
      </c>
      <c r="N18" s="158">
        <f>IF(Bブロック対戦表!Q17="","",Bブロック対戦表!Q17)</f>
        <v>0</v>
      </c>
      <c r="O18" s="155" t="str">
        <f>IF(P18="","",(IF(P18-R18&gt;0,"○",IF(P18-R18&lt;0,"●","△"))))</f>
        <v>○</v>
      </c>
      <c r="P18" s="157">
        <f>IF(Bブロック対戦表!Q107="","",Bブロック対戦表!Q107)</f>
        <v>1</v>
      </c>
      <c r="Q18" s="153" t="s">
        <v>339</v>
      </c>
      <c r="R18" s="156">
        <f>IF(Bブロック対戦表!V107="","",Bブロック対戦表!V107)</f>
        <v>0</v>
      </c>
      <c r="S18" s="152" t="str">
        <f>IF(T18="","",(IF(T18-V18&gt;0,"○",IF(T18-V18&lt;0,"●","△"))))</f>
        <v>△</v>
      </c>
      <c r="T18" s="157">
        <f>IF(Bブロック対戦表!Q198="","",Bブロック対戦表!Q198)</f>
        <v>2</v>
      </c>
      <c r="U18" s="153" t="s">
        <v>339</v>
      </c>
      <c r="V18" s="156">
        <f>IF(Bブロック対戦表!V198="","",Bブロック対戦表!V198)</f>
        <v>2</v>
      </c>
      <c r="W18" s="152" t="str">
        <f>IF(X18="","",(IF(X18-Z18&gt;0,"○",IF(X18-Z18&lt;0,"●","△"))))</f>
        <v/>
      </c>
      <c r="X18" s="158" t="str">
        <f>IF(Bブロック対戦表!Q290="","",Bブロック対戦表!Q290)</f>
        <v/>
      </c>
      <c r="Y18" s="153" t="s">
        <v>339</v>
      </c>
      <c r="Z18" s="158" t="str">
        <f>IF(Bブロック対戦表!V290="","",Bブロック対戦表!V290)</f>
        <v/>
      </c>
      <c r="AA18" s="152" t="str">
        <f t="shared" ref="AA18:AA23" si="17">IF(AB18="","",(IF(AB18-AD18&gt;0,"○",IF(AB18-AD18&lt;0,"●","△"))))</f>
        <v>△</v>
      </c>
      <c r="AB18" s="157">
        <f>IF(Bブロック対戦表!V111="","",Bブロック対戦表!V111)</f>
        <v>2</v>
      </c>
      <c r="AC18" s="153" t="s">
        <v>339</v>
      </c>
      <c r="AD18" s="156">
        <f>IF(Bブロック対戦表!Q111="","",Bブロック対戦表!Q111)</f>
        <v>2</v>
      </c>
      <c r="AE18" s="152" t="str">
        <f t="shared" ref="AE18:AE24" si="18">IF(AF18="","",(IF(AF18-AH18&gt;0,"○",IF(AF18-AH18&lt;0,"●","△"))))</f>
        <v/>
      </c>
      <c r="AF18" s="158" t="str">
        <f>IF(Bブロック対戦表!V294="","",Bブロック対戦表!V294)</f>
        <v/>
      </c>
      <c r="AG18" s="153" t="s">
        <v>339</v>
      </c>
      <c r="AH18" s="158" t="str">
        <f>IF(Bブロック対戦表!Q294="","",Bブロック対戦表!Q294)</f>
        <v/>
      </c>
      <c r="AI18" s="155" t="str">
        <f t="shared" ref="AI18:AI25" si="19">IF(AJ18="","",(IF(AJ18-AL18&gt;0,"○",IF(AJ18-AL18&lt;0,"●","△"))))</f>
        <v>△</v>
      </c>
      <c r="AJ18" s="158">
        <f>IF(Bブロック対戦表!V202="","",Bブロック対戦表!V202)</f>
        <v>0</v>
      </c>
      <c r="AK18" s="153" t="s">
        <v>339</v>
      </c>
      <c r="AL18" s="156">
        <f>IF(Bブロック対戦表!Q202="","",Bブロック対戦表!Q202)</f>
        <v>0</v>
      </c>
      <c r="AM18" s="236"/>
      <c r="AN18" s="158"/>
      <c r="AO18" s="153" t="s">
        <v>339</v>
      </c>
      <c r="AP18" s="237"/>
      <c r="AQ18" s="159">
        <f t="shared" ref="AQ18:AQ26" si="20">SUM(AS18:AU18)</f>
        <v>6</v>
      </c>
      <c r="AR18" s="160">
        <f t="shared" ref="AR18:AR26" si="21">AS18*3+AU18</f>
        <v>9</v>
      </c>
      <c r="AS18" s="160">
        <f t="shared" ref="AS18:AS26" si="22">COUNTIF(C18:AM18,"○")</f>
        <v>2</v>
      </c>
      <c r="AT18" s="160">
        <f>COUNTIF(C18:AM18,"●")</f>
        <v>1</v>
      </c>
      <c r="AU18" s="161">
        <f t="shared" ref="AU18:AU26" si="23">COUNTIF(C18:AM18,"△")</f>
        <v>3</v>
      </c>
      <c r="AV18" s="162">
        <f t="shared" ref="AV18" si="24">AW18-SUM(F18,J18,N18,R18,V18,Z18,AD18,AH18,AL18,AP18)</f>
        <v>-2</v>
      </c>
      <c r="AW18" s="163">
        <f t="shared" ref="AW18:AW26" si="25">SUM(D18,H18,L18,P18,T18,X18,AB18,AF18,AJ18,AN18)</f>
        <v>6</v>
      </c>
      <c r="AX18" s="164">
        <f t="shared" ref="AX18:AX26" si="26">RANK(AY18,AY$18:AY$26)</f>
        <v>4</v>
      </c>
      <c r="AY18" s="165">
        <f t="shared" ref="AY18:AY26" si="27">AR18*10000+AV18*100+AW18</f>
        <v>89806</v>
      </c>
      <c r="AZ18" s="265">
        <f>RANK(AY18,AY$18:AY$54)</f>
        <v>12</v>
      </c>
    </row>
    <row r="19" spans="1:52" ht="25.5" customHeight="1" x14ac:dyDescent="0.4">
      <c r="A19" s="167">
        <v>2</v>
      </c>
      <c r="B19" s="248" t="str">
        <f>VLOOKUP(A19,U12組合せ!B$10:K$20,5,TRUE)</f>
        <v>ウエストフットコム</v>
      </c>
      <c r="C19" s="209" t="str">
        <f t="shared" ref="C19:C26" si="28">IF(D19="","",(IF(D19-F19&gt;0,"○",IF(D19-F19&lt;0,"●","△"))))</f>
        <v>○</v>
      </c>
      <c r="D19" s="168">
        <f>IF(J18="","",J18)</f>
        <v>4</v>
      </c>
      <c r="E19" s="169" t="s">
        <v>343</v>
      </c>
      <c r="F19" s="170">
        <f>IF(H18="","",H18)</f>
        <v>0</v>
      </c>
      <c r="G19" s="981"/>
      <c r="H19" s="982"/>
      <c r="I19" s="982"/>
      <c r="J19" s="983"/>
      <c r="K19" s="152" t="str">
        <f>IF(L19="","",(IF(L19-N19&gt;0,"○",IF(L19-N19&lt;0,"●","△"))))</f>
        <v>○</v>
      </c>
      <c r="L19" s="234">
        <f>IF(Bブロック対戦表!V15="","",Bブロック対戦表!V15)</f>
        <v>2</v>
      </c>
      <c r="M19" s="171" t="s">
        <v>343</v>
      </c>
      <c r="N19" s="154">
        <f>IF(Bブロック対戦表!Q15="","",Bブロック対戦表!Q15)</f>
        <v>0</v>
      </c>
      <c r="O19" s="183" t="str">
        <f>IF(P19="","",(IF(P19-R19&gt;0,"○",IF(P19-R19&lt;0,"●","△"))))</f>
        <v/>
      </c>
      <c r="P19" s="238" t="str">
        <f>IF(Bブロック対戦表!Q321="","",Bブロック対戦表!Q321)</f>
        <v/>
      </c>
      <c r="Q19" s="171" t="s">
        <v>343</v>
      </c>
      <c r="R19" s="172" t="str">
        <f>IF(Bブロック対戦表!V321="","",Bブロック対戦表!V321)</f>
        <v/>
      </c>
      <c r="S19" s="183" t="str">
        <f>IF(T19="","",(IF(T19-V19&gt;0,"○",IF(T19-V19&lt;0,"●","△"))))</f>
        <v>○</v>
      </c>
      <c r="T19" s="173">
        <f>IF(Bブロック対戦表!Q138="","",Bブロック対戦表!Q138)</f>
        <v>3</v>
      </c>
      <c r="U19" s="174" t="s">
        <v>339</v>
      </c>
      <c r="V19" s="175">
        <f>IF(Bブロック対戦表!V138="","",Bブロック対戦表!V138)</f>
        <v>1</v>
      </c>
      <c r="W19" s="152" t="str">
        <f>IF(X19="","",(IF(X19-Z19&gt;0,"○",IF(X19-Z19&lt;0,"●","△"))))</f>
        <v>○</v>
      </c>
      <c r="X19" s="176">
        <f>IF(Bブロック対戦表!Q229="","",Bブロック対戦表!Q229)</f>
        <v>1</v>
      </c>
      <c r="Y19" s="174" t="s">
        <v>339</v>
      </c>
      <c r="Z19" s="176">
        <f>IF(Bブロック対戦表!V229="","",Bブロック対戦表!V229)</f>
        <v>0</v>
      </c>
      <c r="AA19" s="152" t="str">
        <f t="shared" si="17"/>
        <v>○</v>
      </c>
      <c r="AB19" s="176">
        <f>IF(Bブロック対戦表!V233="","",Bブロック対戦表!V233)</f>
        <v>1</v>
      </c>
      <c r="AC19" s="174" t="s">
        <v>339</v>
      </c>
      <c r="AD19" s="176">
        <f>IF(Bブロック対戦表!Q233="","",Bブロック対戦表!Q233)</f>
        <v>0</v>
      </c>
      <c r="AE19" s="239" t="str">
        <f t="shared" si="18"/>
        <v>○</v>
      </c>
      <c r="AF19" s="240">
        <f>IF(Bブロック対戦表!V142="","",Bブロック対戦表!V142)</f>
        <v>5</v>
      </c>
      <c r="AG19" s="177" t="s">
        <v>339</v>
      </c>
      <c r="AH19" s="241">
        <f>IF(Bブロック対戦表!Q142="","",Bブロック対戦表!Q142)</f>
        <v>0</v>
      </c>
      <c r="AI19" s="152" t="str">
        <f t="shared" si="19"/>
        <v/>
      </c>
      <c r="AJ19" s="172" t="str">
        <f>IF(Bブロック対戦表!V325="","",Bブロック対戦表!V325)</f>
        <v/>
      </c>
      <c r="AK19" s="171" t="s">
        <v>339</v>
      </c>
      <c r="AL19" s="210" t="str">
        <f>IF(Bブロック対戦表!Q325="","",Bブロック対戦表!Q325)</f>
        <v/>
      </c>
      <c r="AM19" s="209"/>
      <c r="AN19" s="172"/>
      <c r="AO19" s="171" t="s">
        <v>339</v>
      </c>
      <c r="AP19" s="178"/>
      <c r="AQ19" s="159">
        <f t="shared" si="20"/>
        <v>6</v>
      </c>
      <c r="AR19" s="160">
        <f t="shared" si="21"/>
        <v>18</v>
      </c>
      <c r="AS19" s="160">
        <f t="shared" si="22"/>
        <v>6</v>
      </c>
      <c r="AT19" s="160">
        <f t="shared" ref="AT19:AT26" si="29">COUNTIF(C19:AM19,"●")</f>
        <v>0</v>
      </c>
      <c r="AU19" s="161">
        <f t="shared" si="23"/>
        <v>0</v>
      </c>
      <c r="AV19" s="162">
        <f>AW19-SUM(F19,J19,N19,R19,V19,Z19,AD19,AH19,AL19,AP19)</f>
        <v>15</v>
      </c>
      <c r="AW19" s="163">
        <f t="shared" si="25"/>
        <v>16</v>
      </c>
      <c r="AX19" s="164">
        <f t="shared" si="26"/>
        <v>1</v>
      </c>
      <c r="AY19" s="165">
        <f t="shared" si="27"/>
        <v>181516</v>
      </c>
      <c r="AZ19" s="164">
        <f t="shared" ref="AZ19:AZ54" si="30">RANK(AY19,AY$18:AY$54)</f>
        <v>2</v>
      </c>
    </row>
    <row r="20" spans="1:52" ht="25.5" customHeight="1" x14ac:dyDescent="0.4">
      <c r="A20" s="167">
        <v>3</v>
      </c>
      <c r="B20" s="248" t="str">
        <f>VLOOKUP(A20,U12組合せ!B$10:K$20,5,TRUE)</f>
        <v>緑ヶ丘ＹＦＣ</v>
      </c>
      <c r="C20" s="209" t="str">
        <f t="shared" si="28"/>
        <v>●</v>
      </c>
      <c r="D20" s="179">
        <f>IF(N18="","",N18)</f>
        <v>0</v>
      </c>
      <c r="E20" s="180" t="s">
        <v>343</v>
      </c>
      <c r="F20" s="181">
        <f>IF(L18="","",L18)</f>
        <v>1</v>
      </c>
      <c r="G20" s="152" t="str">
        <f t="shared" ref="G20:G26" si="31">IF(H20="","",(IF(H20-J20&gt;0,"○",IF(H20-J20&lt;0,"●","△"))))</f>
        <v>●</v>
      </c>
      <c r="H20" s="168">
        <f>IF(N19="","",N19)</f>
        <v>0</v>
      </c>
      <c r="I20" s="169" t="s">
        <v>343</v>
      </c>
      <c r="J20" s="170">
        <f>IF(L19="","",L19)</f>
        <v>2</v>
      </c>
      <c r="K20" s="973"/>
      <c r="L20" s="971"/>
      <c r="M20" s="971"/>
      <c r="N20" s="971"/>
      <c r="O20" s="152" t="str">
        <f>IF(P20="","",(IF(P20-R20&gt;0,"○",IF(P20-R20&lt;0,"●","△"))))</f>
        <v>○</v>
      </c>
      <c r="P20" s="234">
        <f>IF(Bブロック対戦表!Q260="","",Bブロック対戦表!Q260)</f>
        <v>4</v>
      </c>
      <c r="Q20" s="171" t="s">
        <v>339</v>
      </c>
      <c r="R20" s="234">
        <f>IF(Bブロック対戦表!V260="","",Bブロック対戦表!V260)</f>
        <v>0</v>
      </c>
      <c r="S20" s="152" t="str">
        <f>IF(T20="","",(IF(T20-V20&gt;0,"○",IF(T20-V20&lt;0,"●","△"))))</f>
        <v/>
      </c>
      <c r="T20" s="172" t="str">
        <f>IF(Bブロック対戦表!Q352="","",Bブロック対戦表!Q352)</f>
        <v/>
      </c>
      <c r="U20" s="171" t="s">
        <v>339</v>
      </c>
      <c r="V20" s="172" t="str">
        <f>IF(Bブロック対戦表!V352="","",Bブロック対戦表!V352)</f>
        <v/>
      </c>
      <c r="W20" s="152" t="str">
        <f>IF(X20="","",(IF(X20-Z20&gt;0,"○",IF(X20-Z20&lt;0,"●","△"))))</f>
        <v>●</v>
      </c>
      <c r="X20" s="154">
        <f>IF(Bブロック対戦表!Q168="","",Bブロック対戦表!Q168)</f>
        <v>0</v>
      </c>
      <c r="Y20" s="171" t="s">
        <v>339</v>
      </c>
      <c r="Z20" s="154">
        <f>IF(Bブロック対戦表!V168="","",Bブロック対戦表!V168)</f>
        <v>1</v>
      </c>
      <c r="AA20" s="152" t="str">
        <f t="shared" si="17"/>
        <v/>
      </c>
      <c r="AB20" s="172" t="str">
        <f>IF(Bブロック対戦表!V356="","",Bブロック対戦表!V356)</f>
        <v/>
      </c>
      <c r="AC20" s="171" t="s">
        <v>339</v>
      </c>
      <c r="AD20" s="172" t="str">
        <f>IF(Bブロック対戦表!Q356="","",Bブロック対戦表!Q356)</f>
        <v/>
      </c>
      <c r="AE20" s="182" t="str">
        <f t="shared" si="18"/>
        <v>○</v>
      </c>
      <c r="AF20" s="176">
        <f>IF(Bブロック対戦表!V264="","",Bブロック対戦表!V264)</f>
        <v>7</v>
      </c>
      <c r="AG20" s="174" t="s">
        <v>339</v>
      </c>
      <c r="AH20" s="175">
        <f>IF(Bブロック対戦表!Q264="","",Bブロック対戦表!Q264)</f>
        <v>0</v>
      </c>
      <c r="AI20" s="183" t="str">
        <f t="shared" si="19"/>
        <v>○</v>
      </c>
      <c r="AJ20" s="172">
        <f>IF(Bブロック対戦表!V172="","",Bブロック対戦表!V172)</f>
        <v>5</v>
      </c>
      <c r="AK20" s="171" t="s">
        <v>339</v>
      </c>
      <c r="AL20" s="210">
        <f>IF(Bブロック対戦表!Q172="","",Bブロック対戦表!Q172)</f>
        <v>1</v>
      </c>
      <c r="AM20" s="211"/>
      <c r="AN20" s="172"/>
      <c r="AO20" s="171" t="s">
        <v>339</v>
      </c>
      <c r="AP20" s="178"/>
      <c r="AQ20" s="159">
        <f t="shared" si="20"/>
        <v>6</v>
      </c>
      <c r="AR20" s="160">
        <f t="shared" si="21"/>
        <v>9</v>
      </c>
      <c r="AS20" s="160">
        <f t="shared" si="22"/>
        <v>3</v>
      </c>
      <c r="AT20" s="160">
        <f t="shared" si="29"/>
        <v>3</v>
      </c>
      <c r="AU20" s="161">
        <f t="shared" si="23"/>
        <v>0</v>
      </c>
      <c r="AV20" s="162">
        <f t="shared" ref="AV20:AV26" si="32">AW20-SUM(F20,J20,N20,R20,V20,Z20,AD20,AH20,AL20,AP20)</f>
        <v>11</v>
      </c>
      <c r="AW20" s="163">
        <f>SUM(D20,H20,L20,P20,T20,X20,AB20,AF20,AJ20,AN20)</f>
        <v>16</v>
      </c>
      <c r="AX20" s="164">
        <f t="shared" si="26"/>
        <v>3</v>
      </c>
      <c r="AY20" s="165">
        <f t="shared" si="27"/>
        <v>91116</v>
      </c>
      <c r="AZ20" s="164">
        <f t="shared" si="30"/>
        <v>11</v>
      </c>
    </row>
    <row r="21" spans="1:52" ht="25.5" customHeight="1" x14ac:dyDescent="0.4">
      <c r="A21" s="167">
        <v>4</v>
      </c>
      <c r="B21" s="248" t="str">
        <f>VLOOKUP(A21,U12組合せ!B$10:K$20,5,TRUE)</f>
        <v>昭和・戸祭SC</v>
      </c>
      <c r="C21" s="209" t="str">
        <f t="shared" si="28"/>
        <v>●</v>
      </c>
      <c r="D21" s="179">
        <f>IF(R18="","",R18)</f>
        <v>0</v>
      </c>
      <c r="E21" s="180" t="s">
        <v>343</v>
      </c>
      <c r="F21" s="181">
        <f>IF(P18="","",P18)</f>
        <v>1</v>
      </c>
      <c r="G21" s="152" t="str">
        <f t="shared" si="31"/>
        <v/>
      </c>
      <c r="H21" s="179" t="str">
        <f>IF(R19="","",R19)</f>
        <v/>
      </c>
      <c r="I21" s="180" t="s">
        <v>343</v>
      </c>
      <c r="J21" s="181" t="str">
        <f>IF(P19="","",P19)</f>
        <v/>
      </c>
      <c r="K21" s="152" t="str">
        <f t="shared" ref="K21:K26" si="33">IF(L21="","",(IF(L21-N21&gt;0,"○",IF(L21-N21&lt;0,"●","△"))))</f>
        <v>●</v>
      </c>
      <c r="L21" s="184">
        <f>IF(R20="","",R20)</f>
        <v>0</v>
      </c>
      <c r="M21" s="174" t="s">
        <v>343</v>
      </c>
      <c r="N21" s="185">
        <f>IF(P20="","",P20)</f>
        <v>4</v>
      </c>
      <c r="O21" s="971"/>
      <c r="P21" s="971"/>
      <c r="Q21" s="971"/>
      <c r="R21" s="972"/>
      <c r="S21" s="152" t="str">
        <f>IF(T21="","",(IF(T21-V21&gt;0,"○",IF(T21-V21&lt;0,"●","△"))))</f>
        <v>△</v>
      </c>
      <c r="T21" s="154">
        <f>IF(Bブロック対戦表!Q45="","",Bブロック対戦表!Q45)</f>
        <v>0</v>
      </c>
      <c r="U21" s="171" t="s">
        <v>339</v>
      </c>
      <c r="V21" s="154">
        <f>IF(Bブロック対戦表!V45="","",Bブロック対戦表!V45)</f>
        <v>0</v>
      </c>
      <c r="W21" s="152" t="str">
        <f>IF(X21="","",(IF(X21-Z21&gt;0,"○",IF(X21-Z21&lt;0,"●","△"))))</f>
        <v>●</v>
      </c>
      <c r="X21" s="173">
        <f>IF(Bブロック対戦表!V49="","",Bブロック対戦表!V49)</f>
        <v>0</v>
      </c>
      <c r="Y21" s="174" t="s">
        <v>339</v>
      </c>
      <c r="Z21" s="175">
        <f>IF(Bブロック対戦表!Q49="","",Bブロック対戦表!Q49)</f>
        <v>4</v>
      </c>
      <c r="AA21" s="152" t="str">
        <f t="shared" si="17"/>
        <v>○</v>
      </c>
      <c r="AB21" s="173">
        <f>IF(Bブロック対戦表!V109="","",Bブロック対戦表!V109)</f>
        <v>1</v>
      </c>
      <c r="AC21" s="174" t="s">
        <v>339</v>
      </c>
      <c r="AD21" s="175">
        <f>IF(Bブロック対戦表!Q109="","",Bブロック対戦表!Q109)</f>
        <v>0</v>
      </c>
      <c r="AE21" s="152" t="str">
        <f t="shared" si="18"/>
        <v>○</v>
      </c>
      <c r="AF21" s="154">
        <f>IF(Bブロック対戦表!V262="","",Bブロック対戦表!V262)</f>
        <v>1</v>
      </c>
      <c r="AG21" s="171" t="s">
        <v>339</v>
      </c>
      <c r="AH21" s="154">
        <f>IF(Bブロック対戦表!Q262="","",Bブロック対戦表!Q262)</f>
        <v>0</v>
      </c>
      <c r="AI21" s="152" t="str">
        <f t="shared" si="19"/>
        <v/>
      </c>
      <c r="AJ21" s="172" t="str">
        <f>IF(Bブロック対戦表!V323="","",Bブロック対戦表!V323)</f>
        <v/>
      </c>
      <c r="AK21" s="171" t="s">
        <v>339</v>
      </c>
      <c r="AL21" s="210" t="str">
        <f>IF(Bブロック対戦表!Q323="","",Bブロック対戦表!Q323)</f>
        <v/>
      </c>
      <c r="AM21" s="209"/>
      <c r="AN21" s="172"/>
      <c r="AO21" s="171" t="s">
        <v>339</v>
      </c>
      <c r="AP21" s="178"/>
      <c r="AQ21" s="159">
        <f t="shared" si="20"/>
        <v>6</v>
      </c>
      <c r="AR21" s="160">
        <f t="shared" si="21"/>
        <v>7</v>
      </c>
      <c r="AS21" s="160">
        <f t="shared" si="22"/>
        <v>2</v>
      </c>
      <c r="AT21" s="160">
        <f t="shared" si="29"/>
        <v>3</v>
      </c>
      <c r="AU21" s="161">
        <f t="shared" si="23"/>
        <v>1</v>
      </c>
      <c r="AV21" s="162">
        <f t="shared" si="32"/>
        <v>-7</v>
      </c>
      <c r="AW21" s="163">
        <f t="shared" si="25"/>
        <v>2</v>
      </c>
      <c r="AX21" s="164">
        <f t="shared" si="26"/>
        <v>5</v>
      </c>
      <c r="AY21" s="165">
        <f t="shared" si="27"/>
        <v>69302</v>
      </c>
      <c r="AZ21" s="164">
        <f t="shared" si="30"/>
        <v>16</v>
      </c>
    </row>
    <row r="22" spans="1:52" ht="25.5" customHeight="1" x14ac:dyDescent="0.4">
      <c r="A22" s="167">
        <v>5</v>
      </c>
      <c r="B22" s="248" t="str">
        <f>VLOOKUP(A22,U12組合せ!B$10:K$20,5,TRUE)</f>
        <v>岡西FC</v>
      </c>
      <c r="C22" s="209" t="str">
        <f t="shared" si="28"/>
        <v>△</v>
      </c>
      <c r="D22" s="179">
        <f>IF(V18="","",V18)</f>
        <v>2</v>
      </c>
      <c r="E22" s="180" t="s">
        <v>343</v>
      </c>
      <c r="F22" s="181">
        <f>IF(T18="","",T18)</f>
        <v>2</v>
      </c>
      <c r="G22" s="152" t="str">
        <f t="shared" si="31"/>
        <v>●</v>
      </c>
      <c r="H22" s="179">
        <f>IF(V19="","",V19)</f>
        <v>1</v>
      </c>
      <c r="I22" s="180" t="s">
        <v>343</v>
      </c>
      <c r="J22" s="181">
        <f>IF(T19="","",T19)</f>
        <v>3</v>
      </c>
      <c r="K22" s="152" t="str">
        <f t="shared" si="33"/>
        <v/>
      </c>
      <c r="L22" s="184" t="str">
        <f>IF(V20="","",V20)</f>
        <v/>
      </c>
      <c r="M22" s="174" t="s">
        <v>343</v>
      </c>
      <c r="N22" s="184" t="str">
        <f>IF(T20="","",T20)</f>
        <v/>
      </c>
      <c r="O22" s="152" t="str">
        <f t="shared" ref="O22:O27" si="34">IF(P22="","",(IF(P22-R22&gt;0,"○",IF(P22-R22&lt;0,"●","△"))))</f>
        <v>△</v>
      </c>
      <c r="P22" s="184">
        <f>IF(V21="","",V21)</f>
        <v>0</v>
      </c>
      <c r="Q22" s="174" t="s">
        <v>343</v>
      </c>
      <c r="R22" s="185">
        <f>IF(T21="","",T21)</f>
        <v>0</v>
      </c>
      <c r="S22" s="973"/>
      <c r="T22" s="971"/>
      <c r="U22" s="971"/>
      <c r="V22" s="972"/>
      <c r="W22" s="152" t="str">
        <f>IF(X22="","",(IF(X22-Z22&gt;0,"○",IF(X22-Z22&lt;0,"●","△"))))</f>
        <v>●</v>
      </c>
      <c r="X22" s="173">
        <f>IF(Bブロック対戦表!V47="","",Bブロック対戦表!V47)</f>
        <v>0</v>
      </c>
      <c r="Y22" s="174" t="s">
        <v>339</v>
      </c>
      <c r="Z22" s="175">
        <f>IF(Bブロック対戦表!Q47="","",Bブロック対戦表!Q47)</f>
        <v>4</v>
      </c>
      <c r="AA22" s="152" t="str">
        <f t="shared" si="17"/>
        <v/>
      </c>
      <c r="AB22" s="172" t="str">
        <f>IF(Bブロック対戦表!V354="","",Bブロック対戦表!V354)</f>
        <v/>
      </c>
      <c r="AC22" s="171" t="s">
        <v>339</v>
      </c>
      <c r="AD22" s="172" t="str">
        <f>IF(Bブロック対戦表!Q354="","",Bブロック対戦表!Q354)</f>
        <v/>
      </c>
      <c r="AE22" s="152" t="str">
        <f t="shared" si="18"/>
        <v>○</v>
      </c>
      <c r="AF22" s="173">
        <f>IF(Bブロック対戦表!V140="","",Bブロック対戦表!V140)</f>
        <v>2</v>
      </c>
      <c r="AG22" s="174" t="s">
        <v>339</v>
      </c>
      <c r="AH22" s="175">
        <f>IF(Bブロック対戦表!Q140="","",Bブロック対戦表!Q140)</f>
        <v>1</v>
      </c>
      <c r="AI22" s="152" t="str">
        <f t="shared" si="19"/>
        <v>△</v>
      </c>
      <c r="AJ22" s="173">
        <f>IF(Bブロック対戦表!V200="","",Bブロック対戦表!V200)</f>
        <v>2</v>
      </c>
      <c r="AK22" s="174" t="s">
        <v>339</v>
      </c>
      <c r="AL22" s="175">
        <f>IF(Bブロック対戦表!Q200="","",Bブロック対戦表!Q200)</f>
        <v>2</v>
      </c>
      <c r="AM22" s="209"/>
      <c r="AN22" s="173"/>
      <c r="AO22" s="174" t="s">
        <v>339</v>
      </c>
      <c r="AP22" s="186"/>
      <c r="AQ22" s="159">
        <f t="shared" si="20"/>
        <v>6</v>
      </c>
      <c r="AR22" s="160">
        <f t="shared" si="21"/>
        <v>6</v>
      </c>
      <c r="AS22" s="160">
        <f t="shared" si="22"/>
        <v>1</v>
      </c>
      <c r="AT22" s="160">
        <f t="shared" si="29"/>
        <v>2</v>
      </c>
      <c r="AU22" s="161">
        <f t="shared" si="23"/>
        <v>3</v>
      </c>
      <c r="AV22" s="162">
        <f t="shared" si="32"/>
        <v>-5</v>
      </c>
      <c r="AW22" s="163">
        <f t="shared" si="25"/>
        <v>7</v>
      </c>
      <c r="AX22" s="164">
        <f t="shared" si="26"/>
        <v>6</v>
      </c>
      <c r="AY22" s="165">
        <f t="shared" si="27"/>
        <v>59507</v>
      </c>
      <c r="AZ22" s="164">
        <f t="shared" si="30"/>
        <v>18</v>
      </c>
    </row>
    <row r="23" spans="1:52" ht="25.5" customHeight="1" x14ac:dyDescent="0.4">
      <c r="A23" s="167">
        <v>6</v>
      </c>
      <c r="B23" s="248" t="str">
        <f>VLOOKUP(A23,U12組合せ!B$10:K$20,5,TRUE)</f>
        <v>FCグラシアス</v>
      </c>
      <c r="C23" s="209" t="str">
        <f t="shared" si="28"/>
        <v/>
      </c>
      <c r="D23" s="179" t="str">
        <f>IF(Z18="","",Z18)</f>
        <v/>
      </c>
      <c r="E23" s="180" t="s">
        <v>343</v>
      </c>
      <c r="F23" s="181" t="str">
        <f>IF(X18="","",X18)</f>
        <v/>
      </c>
      <c r="G23" s="152" t="str">
        <f t="shared" si="31"/>
        <v>●</v>
      </c>
      <c r="H23" s="179">
        <f>IF(Z19="","",Z19)</f>
        <v>0</v>
      </c>
      <c r="I23" s="180" t="s">
        <v>343</v>
      </c>
      <c r="J23" s="181">
        <f>IF(X19="","",X19)</f>
        <v>1</v>
      </c>
      <c r="K23" s="152" t="str">
        <f t="shared" si="33"/>
        <v>○</v>
      </c>
      <c r="L23" s="184">
        <f>IF(Z20="","",Z20)</f>
        <v>1</v>
      </c>
      <c r="M23" s="174" t="s">
        <v>343</v>
      </c>
      <c r="N23" s="184">
        <f>IF(X20="","",X20)</f>
        <v>0</v>
      </c>
      <c r="O23" s="152" t="str">
        <f t="shared" si="34"/>
        <v>○</v>
      </c>
      <c r="P23" s="184">
        <f>IF(Z21="","",Z21)</f>
        <v>4</v>
      </c>
      <c r="Q23" s="174" t="s">
        <v>343</v>
      </c>
      <c r="R23" s="185">
        <f>IF(X21="","",X21)</f>
        <v>0</v>
      </c>
      <c r="S23" s="152" t="str">
        <f>IF(T23="","",(IF(T23-V23&gt;0,"○",IF(T23-V23&lt;0,"●","△"))))</f>
        <v>○</v>
      </c>
      <c r="T23" s="184">
        <f>IF(Z22="","",Z22)</f>
        <v>4</v>
      </c>
      <c r="U23" s="174" t="s">
        <v>343</v>
      </c>
      <c r="V23" s="185">
        <f>IF(X22="","",X22)</f>
        <v>0</v>
      </c>
      <c r="W23" s="973"/>
      <c r="X23" s="971"/>
      <c r="Y23" s="971"/>
      <c r="Z23" s="972"/>
      <c r="AA23" s="152" t="str">
        <f t="shared" si="17"/>
        <v>○</v>
      </c>
      <c r="AB23" s="176">
        <f>IF(Bブロック対戦表!V231="","",Bブロック対戦表!V231)</f>
        <v>2</v>
      </c>
      <c r="AC23" s="174" t="s">
        <v>339</v>
      </c>
      <c r="AD23" s="176">
        <f>IF(Bブロック対戦表!Q231="","",Bブロック対戦表!Q231)</f>
        <v>0</v>
      </c>
      <c r="AE23" s="152" t="str">
        <f t="shared" si="18"/>
        <v/>
      </c>
      <c r="AF23" s="172" t="str">
        <f>IF(Bブロック対戦表!V292="","",Bブロック対戦表!V292)</f>
        <v/>
      </c>
      <c r="AG23" s="171" t="s">
        <v>339</v>
      </c>
      <c r="AH23" s="172" t="str">
        <f>IF(Bブロック対戦表!Q292="","",Bブロック対戦表!Q292)</f>
        <v/>
      </c>
      <c r="AI23" s="152" t="str">
        <f t="shared" si="19"/>
        <v>○</v>
      </c>
      <c r="AJ23" s="173">
        <f>IF(Bブロック対戦表!V170="","",Bブロック対戦表!V170)</f>
        <v>5</v>
      </c>
      <c r="AK23" s="174" t="s">
        <v>339</v>
      </c>
      <c r="AL23" s="175">
        <f>IF(Bブロック対戦表!Q170="","",Bブロック対戦表!Q170)</f>
        <v>0</v>
      </c>
      <c r="AM23" s="209"/>
      <c r="AN23" s="173"/>
      <c r="AO23" s="174" t="s">
        <v>339</v>
      </c>
      <c r="AP23" s="187"/>
      <c r="AQ23" s="159">
        <f t="shared" si="20"/>
        <v>6</v>
      </c>
      <c r="AR23" s="160">
        <f t="shared" si="21"/>
        <v>15</v>
      </c>
      <c r="AS23" s="160">
        <f t="shared" si="22"/>
        <v>5</v>
      </c>
      <c r="AT23" s="160">
        <f t="shared" si="29"/>
        <v>1</v>
      </c>
      <c r="AU23" s="161">
        <f t="shared" si="23"/>
        <v>0</v>
      </c>
      <c r="AV23" s="162">
        <f t="shared" si="32"/>
        <v>15</v>
      </c>
      <c r="AW23" s="163">
        <f t="shared" si="25"/>
        <v>16</v>
      </c>
      <c r="AX23" s="164">
        <f t="shared" si="26"/>
        <v>2</v>
      </c>
      <c r="AY23" s="165">
        <f t="shared" si="27"/>
        <v>151516</v>
      </c>
      <c r="AZ23" s="164">
        <f t="shared" si="30"/>
        <v>3</v>
      </c>
    </row>
    <row r="24" spans="1:52" ht="25.5" customHeight="1" x14ac:dyDescent="0.4">
      <c r="A24" s="167">
        <v>7</v>
      </c>
      <c r="B24" s="248" t="str">
        <f>VLOOKUP(A24,U12組合せ!B$10:K$20,5,TRUE)</f>
        <v>上三川SC</v>
      </c>
      <c r="C24" s="209" t="str">
        <f t="shared" si="28"/>
        <v>△</v>
      </c>
      <c r="D24" s="179">
        <f>IF(AD18="","",AD18)</f>
        <v>2</v>
      </c>
      <c r="E24" s="180" t="s">
        <v>343</v>
      </c>
      <c r="F24" s="181">
        <f>IF(AB18="","",AB18)</f>
        <v>2</v>
      </c>
      <c r="G24" s="152" t="str">
        <f t="shared" si="31"/>
        <v>●</v>
      </c>
      <c r="H24" s="179">
        <f>IF(AD19="","",AD19)</f>
        <v>0</v>
      </c>
      <c r="I24" s="180" t="s">
        <v>343</v>
      </c>
      <c r="J24" s="181">
        <f>IF(AB19="","",AB19)</f>
        <v>1</v>
      </c>
      <c r="K24" s="152" t="str">
        <f t="shared" si="33"/>
        <v/>
      </c>
      <c r="L24" s="184" t="str">
        <f>IF(AD20="","",AD20)</f>
        <v/>
      </c>
      <c r="M24" s="174" t="s">
        <v>343</v>
      </c>
      <c r="N24" s="184" t="str">
        <f>IF(AB20="","",AB20)</f>
        <v/>
      </c>
      <c r="O24" s="152" t="str">
        <f t="shared" si="34"/>
        <v>●</v>
      </c>
      <c r="P24" s="184">
        <f>IF(AD21="","",AD21)</f>
        <v>0</v>
      </c>
      <c r="Q24" s="174" t="s">
        <v>343</v>
      </c>
      <c r="R24" s="185">
        <f>IF(AB21="","",AB21)</f>
        <v>1</v>
      </c>
      <c r="S24" s="152" t="str">
        <f>IF(T24="","",(IF(T24-V24&gt;0,"○",IF(T24-V24&lt;0,"●","△"))))</f>
        <v/>
      </c>
      <c r="T24" s="184" t="str">
        <f>IF(AD22="","",AD22)</f>
        <v/>
      </c>
      <c r="U24" s="174" t="s">
        <v>343</v>
      </c>
      <c r="V24" s="185" t="str">
        <f>IF(AB22="","",AB22)</f>
        <v/>
      </c>
      <c r="W24" s="152" t="str">
        <f>IF(X24="","",(IF(X24-Z24&gt;0,"○",IF(X24-Z24&lt;0,"●","△"))))</f>
        <v>●</v>
      </c>
      <c r="X24" s="184">
        <f>IF(AD23="","",AD23)</f>
        <v>0</v>
      </c>
      <c r="Y24" s="174" t="s">
        <v>343</v>
      </c>
      <c r="Z24" s="185">
        <f>IF(AB23="","",AB23)</f>
        <v>2</v>
      </c>
      <c r="AA24" s="973"/>
      <c r="AB24" s="971"/>
      <c r="AC24" s="971"/>
      <c r="AD24" s="972"/>
      <c r="AE24" s="152" t="str">
        <f t="shared" si="18"/>
        <v>○</v>
      </c>
      <c r="AF24" s="242">
        <f>IF(Bブロック対戦表!Q76="","",Bブロック対戦表!Q76)</f>
        <v>4</v>
      </c>
      <c r="AG24" s="171" t="s">
        <v>339</v>
      </c>
      <c r="AH24" s="242">
        <f>IF(Bブロック対戦表!V76="","",Bブロック対戦表!V76)</f>
        <v>0</v>
      </c>
      <c r="AI24" s="183" t="str">
        <f t="shared" si="19"/>
        <v>△</v>
      </c>
      <c r="AJ24" s="188">
        <f>IF(Bブロック対戦表!V80="","",Bブロック対戦表!V80)</f>
        <v>0</v>
      </c>
      <c r="AK24" s="171" t="s">
        <v>339</v>
      </c>
      <c r="AL24" s="175">
        <f>IF(Bブロック対戦表!Q80="","",Bブロック対戦表!Q80)</f>
        <v>0</v>
      </c>
      <c r="AM24" s="211"/>
      <c r="AN24" s="188"/>
      <c r="AO24" s="171" t="s">
        <v>339</v>
      </c>
      <c r="AP24" s="187"/>
      <c r="AQ24" s="159">
        <f t="shared" si="20"/>
        <v>6</v>
      </c>
      <c r="AR24" s="160">
        <f t="shared" si="21"/>
        <v>5</v>
      </c>
      <c r="AS24" s="160">
        <f t="shared" si="22"/>
        <v>1</v>
      </c>
      <c r="AT24" s="160">
        <f t="shared" si="29"/>
        <v>3</v>
      </c>
      <c r="AU24" s="161">
        <f t="shared" si="23"/>
        <v>2</v>
      </c>
      <c r="AV24" s="162">
        <f t="shared" si="32"/>
        <v>0</v>
      </c>
      <c r="AW24" s="163">
        <f t="shared" si="25"/>
        <v>6</v>
      </c>
      <c r="AX24" s="164">
        <f t="shared" si="26"/>
        <v>8</v>
      </c>
      <c r="AY24" s="165">
        <f t="shared" si="27"/>
        <v>50006</v>
      </c>
      <c r="AZ24" s="164">
        <f t="shared" si="30"/>
        <v>20</v>
      </c>
    </row>
    <row r="25" spans="1:52" ht="25.5" customHeight="1" x14ac:dyDescent="0.4">
      <c r="A25" s="167">
        <v>8</v>
      </c>
      <c r="B25" s="248" t="str">
        <f>VLOOKUP(A25,U12組合せ!B$10:K$20,5,TRUE)</f>
        <v>宇都宮FCジュニア</v>
      </c>
      <c r="C25" s="209" t="str">
        <f t="shared" si="28"/>
        <v/>
      </c>
      <c r="D25" s="179" t="str">
        <f>IF(AH18="","",AH18)</f>
        <v/>
      </c>
      <c r="E25" s="180" t="s">
        <v>343</v>
      </c>
      <c r="F25" s="181" t="str">
        <f>IF(AF18="","",AF18)</f>
        <v/>
      </c>
      <c r="G25" s="152" t="str">
        <f t="shared" si="31"/>
        <v>●</v>
      </c>
      <c r="H25" s="179">
        <f>IF(AH19="","",AH19)</f>
        <v>0</v>
      </c>
      <c r="I25" s="180" t="s">
        <v>343</v>
      </c>
      <c r="J25" s="181">
        <f>IF(AF19="","",AF19)</f>
        <v>5</v>
      </c>
      <c r="K25" s="152" t="str">
        <f t="shared" si="33"/>
        <v>●</v>
      </c>
      <c r="L25" s="184">
        <f>IF(AH20="","",AH20)</f>
        <v>0</v>
      </c>
      <c r="M25" s="174" t="s">
        <v>343</v>
      </c>
      <c r="N25" s="184">
        <f>IF(AF20="","",AF20)</f>
        <v>7</v>
      </c>
      <c r="O25" s="152" t="str">
        <f t="shared" si="34"/>
        <v>●</v>
      </c>
      <c r="P25" s="184">
        <f>IF(AH21="","",AH21)</f>
        <v>0</v>
      </c>
      <c r="Q25" s="174" t="s">
        <v>343</v>
      </c>
      <c r="R25" s="185">
        <f>IF(AF21="","",AF21)</f>
        <v>1</v>
      </c>
      <c r="S25" s="152" t="str">
        <f>IF(T25="","",(IF(T25-V25&gt;0,"○",IF(T25-V25&lt;0,"●","△"))))</f>
        <v>●</v>
      </c>
      <c r="T25" s="184">
        <f>IF(AH22="","",AH22)</f>
        <v>1</v>
      </c>
      <c r="U25" s="174" t="s">
        <v>343</v>
      </c>
      <c r="V25" s="185">
        <f>IF(AF22="","",AF22)</f>
        <v>2</v>
      </c>
      <c r="W25" s="152" t="str">
        <f>IF(X25="","",(IF(X25-Z25&gt;0,"○",IF(X25-Z25&lt;0,"●","△"))))</f>
        <v/>
      </c>
      <c r="X25" s="184" t="str">
        <f>IF(AH23="","",AH23)</f>
        <v/>
      </c>
      <c r="Y25" s="174" t="s">
        <v>343</v>
      </c>
      <c r="Z25" s="185" t="str">
        <f>IF(AF23="","",AF23)</f>
        <v/>
      </c>
      <c r="AA25" s="152" t="str">
        <f>IF(AB25="","",(IF(AB25-AD25&gt;0,"○",IF(AB25-AD25&lt;0,"●","△"))))</f>
        <v>●</v>
      </c>
      <c r="AB25" s="184">
        <f>IF(AH24="","",AH24)</f>
        <v>0</v>
      </c>
      <c r="AC25" s="174" t="s">
        <v>343</v>
      </c>
      <c r="AD25" s="185">
        <f>IF(AF24="","",AF24)</f>
        <v>4</v>
      </c>
      <c r="AE25" s="973"/>
      <c r="AF25" s="971"/>
      <c r="AG25" s="971"/>
      <c r="AH25" s="972"/>
      <c r="AI25" s="183" t="str">
        <f t="shared" si="19"/>
        <v>●</v>
      </c>
      <c r="AJ25" s="188">
        <f>IF(Bブロック対戦表!V78="","",Bブロック対戦表!V78)</f>
        <v>0</v>
      </c>
      <c r="AK25" s="171" t="s">
        <v>339</v>
      </c>
      <c r="AL25" s="175">
        <f>IF(Bブロック対戦表!Q78="","",Bブロック対戦表!Q78)</f>
        <v>4</v>
      </c>
      <c r="AM25" s="211"/>
      <c r="AN25" s="188"/>
      <c r="AO25" s="171" t="s">
        <v>339</v>
      </c>
      <c r="AP25" s="187"/>
      <c r="AQ25" s="159">
        <f t="shared" si="20"/>
        <v>6</v>
      </c>
      <c r="AR25" s="160">
        <f t="shared" si="21"/>
        <v>0</v>
      </c>
      <c r="AS25" s="160">
        <f t="shared" si="22"/>
        <v>0</v>
      </c>
      <c r="AT25" s="160">
        <f t="shared" si="29"/>
        <v>6</v>
      </c>
      <c r="AU25" s="161">
        <f t="shared" si="23"/>
        <v>0</v>
      </c>
      <c r="AV25" s="162">
        <f t="shared" si="32"/>
        <v>-22</v>
      </c>
      <c r="AW25" s="163">
        <f t="shared" si="25"/>
        <v>1</v>
      </c>
      <c r="AX25" s="164">
        <f t="shared" si="26"/>
        <v>9</v>
      </c>
      <c r="AY25" s="165">
        <f t="shared" si="27"/>
        <v>-2199</v>
      </c>
      <c r="AZ25" s="164">
        <f t="shared" si="30"/>
        <v>25</v>
      </c>
    </row>
    <row r="26" spans="1:52" ht="25.5" customHeight="1" thickBot="1" x14ac:dyDescent="0.45">
      <c r="A26" s="167">
        <v>9</v>
      </c>
      <c r="B26" s="248" t="str">
        <f>VLOOKUP(A26,U12組合せ!B$10:K$20,5,TRUE)</f>
        <v>サウス宇都宮SC</v>
      </c>
      <c r="C26" s="211" t="str">
        <f t="shared" si="28"/>
        <v>△</v>
      </c>
      <c r="D26" s="224">
        <f>IF(AL18="","",AL18)</f>
        <v>0</v>
      </c>
      <c r="E26" s="225" t="s">
        <v>343</v>
      </c>
      <c r="F26" s="226">
        <f>IF(AJ18="","",AJ18)</f>
        <v>0</v>
      </c>
      <c r="G26" s="183" t="str">
        <f t="shared" si="31"/>
        <v/>
      </c>
      <c r="H26" s="224" t="str">
        <f>IF(AL19="","",AL19)</f>
        <v/>
      </c>
      <c r="I26" s="225" t="s">
        <v>343</v>
      </c>
      <c r="J26" s="226" t="str">
        <f>IF(AJ19="","",AJ19)</f>
        <v/>
      </c>
      <c r="K26" s="183" t="str">
        <f t="shared" si="33"/>
        <v>●</v>
      </c>
      <c r="L26" s="184">
        <f>IF(AL20="","",AL20)</f>
        <v>1</v>
      </c>
      <c r="M26" s="174" t="s">
        <v>343</v>
      </c>
      <c r="N26" s="184">
        <f>IF(AJ20="","",AJ20)</f>
        <v>5</v>
      </c>
      <c r="O26" s="183" t="str">
        <f t="shared" si="34"/>
        <v/>
      </c>
      <c r="P26" s="184" t="str">
        <f>IF(AL21="","",AL21)</f>
        <v/>
      </c>
      <c r="Q26" s="174" t="s">
        <v>343</v>
      </c>
      <c r="R26" s="185" t="str">
        <f>IF(AJ21="","",AJ21)</f>
        <v/>
      </c>
      <c r="S26" s="183" t="str">
        <f>IF(T26="","",(IF(T26-V26&gt;0,"○",IF(T26-V26&lt;0,"●","△"))))</f>
        <v>△</v>
      </c>
      <c r="T26" s="184">
        <f>IF(AL22="","",AL22)</f>
        <v>2</v>
      </c>
      <c r="U26" s="174" t="s">
        <v>343</v>
      </c>
      <c r="V26" s="185">
        <f>IF(AJ22="","",AJ22)</f>
        <v>2</v>
      </c>
      <c r="W26" s="183" t="str">
        <f>IF(X26="","",(IF(X26-Z26&gt;0,"○",IF(X26-Z26&lt;0,"●","△"))))</f>
        <v>●</v>
      </c>
      <c r="X26" s="184">
        <f>IF(AL23="","",AL23)</f>
        <v>0</v>
      </c>
      <c r="Y26" s="174" t="s">
        <v>343</v>
      </c>
      <c r="Z26" s="185">
        <f>IF(AJ23="","",AJ23)</f>
        <v>5</v>
      </c>
      <c r="AA26" s="183" t="str">
        <f>IF(AB26="","",(IF(AB26-AD26&gt;0,"○",IF(AB26-AD26&lt;0,"●","△"))))</f>
        <v>△</v>
      </c>
      <c r="AB26" s="184">
        <f>IF(AL24="","",AL24)</f>
        <v>0</v>
      </c>
      <c r="AC26" s="174" t="s">
        <v>343</v>
      </c>
      <c r="AD26" s="185">
        <f>IF(AJ24="","",AJ24)</f>
        <v>0</v>
      </c>
      <c r="AE26" s="183" t="str">
        <f>IF(AF26="","",(IF(AF26-AH26&gt;0,"○",IF(AF26-AH26&lt;0,"●","△"))))</f>
        <v>○</v>
      </c>
      <c r="AF26" s="184">
        <f>IF(AL25="","",AL25)</f>
        <v>4</v>
      </c>
      <c r="AG26" s="174" t="s">
        <v>343</v>
      </c>
      <c r="AH26" s="185">
        <f>IF(AJ25="","",AJ25)</f>
        <v>0</v>
      </c>
      <c r="AI26" s="973"/>
      <c r="AJ26" s="971"/>
      <c r="AK26" s="971"/>
      <c r="AL26" s="972"/>
      <c r="AM26" s="211"/>
      <c r="AN26" s="188"/>
      <c r="AO26" s="171" t="s">
        <v>339</v>
      </c>
      <c r="AP26" s="187"/>
      <c r="AQ26" s="190">
        <f t="shared" si="20"/>
        <v>6</v>
      </c>
      <c r="AR26" s="191">
        <f t="shared" si="21"/>
        <v>6</v>
      </c>
      <c r="AS26" s="191">
        <f t="shared" si="22"/>
        <v>1</v>
      </c>
      <c r="AT26" s="191">
        <f t="shared" si="29"/>
        <v>2</v>
      </c>
      <c r="AU26" s="192">
        <f t="shared" si="23"/>
        <v>3</v>
      </c>
      <c r="AV26" s="193">
        <f t="shared" si="32"/>
        <v>-5</v>
      </c>
      <c r="AW26" s="194">
        <f t="shared" si="25"/>
        <v>7</v>
      </c>
      <c r="AX26" s="195">
        <f t="shared" si="26"/>
        <v>6</v>
      </c>
      <c r="AY26" s="165">
        <f t="shared" si="27"/>
        <v>59507</v>
      </c>
      <c r="AZ26" s="195">
        <f t="shared" si="30"/>
        <v>18</v>
      </c>
    </row>
    <row r="27" spans="1:52" ht="25.5" customHeight="1" thickBot="1" x14ac:dyDescent="0.45">
      <c r="A27" s="213">
        <v>10</v>
      </c>
      <c r="B27" s="249">
        <f>VLOOKUP(A27,U12組合せ!B$11:K$20,5,TRUE)</f>
        <v>0</v>
      </c>
      <c r="C27" s="246" t="str">
        <f>IF(D27="","",(IF(D27-F27&gt;0,"○",IF(D27-F27&lt;0,"●","△"))))</f>
        <v/>
      </c>
      <c r="D27" s="219" t="str">
        <f>IF(AP18="","",AP18)</f>
        <v/>
      </c>
      <c r="E27" s="220" t="s">
        <v>343</v>
      </c>
      <c r="F27" s="221" t="str">
        <f>IF(AN18="","",AN18)</f>
        <v/>
      </c>
      <c r="G27" s="189" t="str">
        <f>IF(H27="","",(IF(H27-J27&gt;0,"○",IF(H27-J27&lt;0,"●","△"))))</f>
        <v/>
      </c>
      <c r="H27" s="219" t="str">
        <f>IF(AP19="","",AP19)</f>
        <v/>
      </c>
      <c r="I27" s="220" t="s">
        <v>343</v>
      </c>
      <c r="J27" s="221" t="str">
        <f>IF(AN19="","",AN19)</f>
        <v/>
      </c>
      <c r="K27" s="189" t="str">
        <f>IF(L27="","",(IF(L27-N27&gt;0,"○",IF(L27-N27&lt;0,"●","△"))))</f>
        <v/>
      </c>
      <c r="L27" s="219" t="str">
        <f>IF(AP20="","",AP20)</f>
        <v/>
      </c>
      <c r="M27" s="220" t="s">
        <v>343</v>
      </c>
      <c r="N27" s="219" t="str">
        <f>IF(AN20="","",AN20)</f>
        <v/>
      </c>
      <c r="O27" s="189" t="str">
        <f t="shared" si="34"/>
        <v/>
      </c>
      <c r="P27" s="219" t="str">
        <f>IF(AP21="","",AP21)</f>
        <v/>
      </c>
      <c r="Q27" s="220" t="s">
        <v>343</v>
      </c>
      <c r="R27" s="221" t="str">
        <f>IF(AN21="","",AN21)</f>
        <v/>
      </c>
      <c r="S27" s="189" t="str">
        <f>IF(T27="","",(IF(T27-V27&gt;0,"○",IF(T27-V27&lt;0,"●","△"))))</f>
        <v/>
      </c>
      <c r="T27" s="219" t="str">
        <f>IF(AP22="","",AP22)</f>
        <v/>
      </c>
      <c r="U27" s="220" t="s">
        <v>343</v>
      </c>
      <c r="V27" s="221" t="str">
        <f>IF(AN22="","",AN22)</f>
        <v/>
      </c>
      <c r="W27" s="189" t="str">
        <f>IF(X27="","",(IF(X27-Z27&gt;0,"○",IF(X27-Z27&lt;0,"●","△"))))</f>
        <v/>
      </c>
      <c r="X27" s="219" t="str">
        <f>IF(AP23="","",AP23)</f>
        <v/>
      </c>
      <c r="Y27" s="220" t="s">
        <v>343</v>
      </c>
      <c r="Z27" s="221" t="str">
        <f>IF(AN23="","",AN23)</f>
        <v/>
      </c>
      <c r="AA27" s="189" t="str">
        <f>IF(AB27="","",(IF(AB27-AD27&gt;0,"○",IF(AB27-AD27&lt;0,"●","△"))))</f>
        <v/>
      </c>
      <c r="AB27" s="219" t="str">
        <f>IF(AP24="","",AP24)</f>
        <v/>
      </c>
      <c r="AC27" s="220" t="s">
        <v>343</v>
      </c>
      <c r="AD27" s="221" t="str">
        <f>IF(AN24="","",AN24)</f>
        <v/>
      </c>
      <c r="AE27" s="189" t="str">
        <f>IF(AF27="","",(IF(AF27-AH27&gt;0,"○",IF(AF27-AH27&lt;0,"●","△"))))</f>
        <v/>
      </c>
      <c r="AF27" s="219" t="str">
        <f>IF(AP25="","",AP25)</f>
        <v/>
      </c>
      <c r="AG27" s="220" t="s">
        <v>343</v>
      </c>
      <c r="AH27" s="221" t="str">
        <f>IF(AN25="","",AN25)</f>
        <v/>
      </c>
      <c r="AI27" s="189" t="str">
        <f>IF(AJ27="","",(IF(AJ27-AL27&gt;0,"○",IF(AJ27-AL27&lt;0,"●","△"))))</f>
        <v/>
      </c>
      <c r="AJ27" s="219" t="str">
        <f>IF(AP26="","",AP26)</f>
        <v/>
      </c>
      <c r="AK27" s="220" t="s">
        <v>343</v>
      </c>
      <c r="AL27" s="221" t="str">
        <f>IF(AN26="","",AN26)</f>
        <v/>
      </c>
      <c r="AM27" s="986"/>
      <c r="AN27" s="986"/>
      <c r="AO27" s="986"/>
      <c r="AP27" s="987"/>
      <c r="AQ27" s="255"/>
      <c r="AR27" s="256"/>
      <c r="AS27" s="256"/>
      <c r="AT27" s="256"/>
      <c r="AU27" s="257"/>
      <c r="AV27" s="258"/>
      <c r="AW27" s="259"/>
      <c r="AX27" s="260"/>
      <c r="AZ27" s="267"/>
    </row>
    <row r="28" spans="1:52" ht="27.75" customHeight="1" x14ac:dyDescent="0.4">
      <c r="C28" s="204"/>
      <c r="E28" s="205" t="s">
        <v>347</v>
      </c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</row>
    <row r="29" spans="1:52" ht="15" customHeight="1" thickBot="1" x14ac:dyDescent="0.45">
      <c r="B29" s="206"/>
      <c r="C29" s="204"/>
      <c r="G29" s="204"/>
    </row>
    <row r="30" spans="1:52" s="149" customFormat="1" ht="20.25" customHeight="1" thickBot="1" x14ac:dyDescent="0.45">
      <c r="A30" s="142"/>
      <c r="B30" s="247" t="s">
        <v>376</v>
      </c>
      <c r="C30" s="969" t="str">
        <f>B31</f>
        <v>FCアリーバ</v>
      </c>
      <c r="D30" s="969"/>
      <c r="E30" s="969"/>
      <c r="F30" s="970"/>
      <c r="G30" s="968" t="str">
        <f>B32</f>
        <v>カテット白沢SS</v>
      </c>
      <c r="H30" s="969"/>
      <c r="I30" s="969"/>
      <c r="J30" s="970"/>
      <c r="K30" s="968" t="str">
        <f>B33</f>
        <v>リフレSCチェルビアット</v>
      </c>
      <c r="L30" s="969"/>
      <c r="M30" s="969"/>
      <c r="N30" s="970"/>
      <c r="O30" s="968" t="str">
        <f>B34</f>
        <v>ともぞうSC　U11</v>
      </c>
      <c r="P30" s="969"/>
      <c r="Q30" s="969"/>
      <c r="R30" s="970"/>
      <c r="S30" s="974" t="str">
        <f>B35</f>
        <v>豊郷JFC宇都宮U-12</v>
      </c>
      <c r="T30" s="975"/>
      <c r="U30" s="975"/>
      <c r="V30" s="976"/>
      <c r="W30" s="968" t="str">
        <f>B36</f>
        <v>シャルムグランツSC</v>
      </c>
      <c r="X30" s="969"/>
      <c r="Y30" s="969"/>
      <c r="Z30" s="975"/>
      <c r="AA30" s="977" t="str">
        <f>B37</f>
        <v>雀宮FC</v>
      </c>
      <c r="AB30" s="977"/>
      <c r="AC30" s="977"/>
      <c r="AD30" s="976"/>
      <c r="AE30" s="968" t="str">
        <f>B38</f>
        <v>FCみらいP</v>
      </c>
      <c r="AF30" s="969"/>
      <c r="AG30" s="969"/>
      <c r="AH30" s="970"/>
      <c r="AI30" s="968" t="str">
        <f>B39</f>
        <v>みはらSC jr</v>
      </c>
      <c r="AJ30" s="969"/>
      <c r="AK30" s="969"/>
      <c r="AL30" s="970"/>
      <c r="AM30" s="969">
        <f>B40</f>
        <v>0</v>
      </c>
      <c r="AN30" s="969"/>
      <c r="AO30" s="969"/>
      <c r="AP30" s="984"/>
      <c r="AQ30" s="144" t="s">
        <v>14</v>
      </c>
      <c r="AR30" s="145" t="s">
        <v>340</v>
      </c>
      <c r="AS30" s="145" t="s">
        <v>335</v>
      </c>
      <c r="AT30" s="145" t="s">
        <v>336</v>
      </c>
      <c r="AU30" s="146" t="s">
        <v>337</v>
      </c>
      <c r="AV30" s="232" t="s">
        <v>338</v>
      </c>
      <c r="AW30" s="147" t="s">
        <v>341</v>
      </c>
      <c r="AX30" s="148" t="s">
        <v>342</v>
      </c>
      <c r="AY30" s="263"/>
      <c r="AZ30" s="266" t="s">
        <v>377</v>
      </c>
    </row>
    <row r="31" spans="1:52" ht="25.5" customHeight="1" thickTop="1" x14ac:dyDescent="0.4">
      <c r="A31" s="150">
        <v>1</v>
      </c>
      <c r="B31" s="248" t="str">
        <f>VLOOKUP(A31,U12組合せ!B$10:K$20,7,TRUE)</f>
        <v>FCアリーバ</v>
      </c>
      <c r="C31" s="979"/>
      <c r="D31" s="979"/>
      <c r="E31" s="979"/>
      <c r="F31" s="980"/>
      <c r="G31" s="152" t="str">
        <f>IF(H31="","",(IF(H31-J31&gt;0,"○",IF(H31-J31&lt;0,"●","△"))))</f>
        <v>○</v>
      </c>
      <c r="H31" s="234">
        <f>IF('Cブロック対戦表 '!Q13="","",'Cブロック対戦表 '!Q13)</f>
        <v>8</v>
      </c>
      <c r="I31" s="153" t="s">
        <v>343</v>
      </c>
      <c r="J31" s="154">
        <f>IF('Cブロック対戦表 '!V13="","",'Cブロック対戦表 '!V13)</f>
        <v>0</v>
      </c>
      <c r="K31" s="155" t="str">
        <f>IF(L31="","",(IF(L31-N31&gt;0,"○",IF(L31-N31&lt;0,"●","△"))))</f>
        <v>○</v>
      </c>
      <c r="L31" s="235">
        <f>IF('Cブロック対戦表 '!V17="","",'Cブロック対戦表 '!V17)</f>
        <v>4</v>
      </c>
      <c r="M31" s="153" t="s">
        <v>343</v>
      </c>
      <c r="N31" s="158">
        <f>IF('Cブロック対戦表 '!Q17="","",'Cブロック対戦表 '!Q17)</f>
        <v>0</v>
      </c>
      <c r="O31" s="155" t="str">
        <f>IF(P31="","",(IF(P31-R31&gt;0,"○",IF(P31-R31&lt;0,"●","△"))))</f>
        <v/>
      </c>
      <c r="P31" s="157" t="str">
        <f>IF('Cブロック対戦表 '!Q300="","",'Cブロック対戦表 '!Q300)</f>
        <v/>
      </c>
      <c r="Q31" s="153" t="s">
        <v>339</v>
      </c>
      <c r="R31" s="156" t="str">
        <f>IF('Cブロック対戦表 '!V300="","",'Cブロック対戦表 '!V300)</f>
        <v/>
      </c>
      <c r="S31" s="152" t="str">
        <f>IF(T31="","",(IF(T31-V31&gt;0,"○",IF(T31-V31&lt;0,"●","△"))))</f>
        <v>○</v>
      </c>
      <c r="T31" s="157">
        <f>IF('Cブロック対戦表 '!Q108="","",'Cブロック対戦表 '!Q108)</f>
        <v>4</v>
      </c>
      <c r="U31" s="153" t="s">
        <v>339</v>
      </c>
      <c r="V31" s="156">
        <f>IF('Cブロック対戦表 '!V108="","",'Cブロック対戦表 '!V108)</f>
        <v>0</v>
      </c>
      <c r="W31" s="152" t="str">
        <f>IF(X31="","",(IF(X31-Z31&gt;0,"○",IF(X31-Z31&lt;0,"●","△"))))</f>
        <v>○</v>
      </c>
      <c r="X31" s="158">
        <f>IF('Cブロック対戦表 '!Q204="","",'Cブロック対戦表 '!Q204)</f>
        <v>5</v>
      </c>
      <c r="Y31" s="153" t="s">
        <v>339</v>
      </c>
      <c r="Z31" s="158">
        <f>IF('Cブロック対戦表 '!V204="","",'Cブロック対戦表 '!V204)</f>
        <v>1</v>
      </c>
      <c r="AA31" s="152" t="str">
        <f t="shared" ref="AA31:AA36" si="35">IF(AB31="","",(IF(AB31-AD31&gt;0,"○",IF(AB31-AD31&lt;0,"●","△"))))</f>
        <v/>
      </c>
      <c r="AB31" s="157" t="str">
        <f>IF('Cブロック対戦表 '!V304="","",'Cブロック対戦表 '!V304)</f>
        <v/>
      </c>
      <c r="AC31" s="153" t="s">
        <v>339</v>
      </c>
      <c r="AD31" s="156" t="str">
        <f>IF('Cブロック対戦表 '!Q304="","",'Cブロック対戦表 '!Q304)</f>
        <v/>
      </c>
      <c r="AE31" s="152" t="str">
        <f t="shared" ref="AE31:AE37" si="36">IF(AF31="","",(IF(AF31-AH31&gt;0,"○",IF(AF31-AH31&lt;0,"●","△"))))</f>
        <v>○</v>
      </c>
      <c r="AF31" s="158">
        <f>IF('Cブロック対戦表 '!V208="","",'Cブロック対戦表 '!V208)</f>
        <v>2</v>
      </c>
      <c r="AG31" s="153" t="s">
        <v>339</v>
      </c>
      <c r="AH31" s="158">
        <f>IF('Cブロック対戦表 '!Q208="","",'Cブロック対戦表 '!Q208)</f>
        <v>0</v>
      </c>
      <c r="AI31" s="155" t="str">
        <f t="shared" ref="AI31:AI38" si="37">IF(AJ31="","",(IF(AJ31-AL31&gt;0,"○",IF(AJ31-AL31&lt;0,"●","△"))))</f>
        <v>○</v>
      </c>
      <c r="AJ31" s="158">
        <f>IF('Cブロック対戦表 '!V112="","",'Cブロック対戦表 '!V112)</f>
        <v>3</v>
      </c>
      <c r="AK31" s="153" t="s">
        <v>339</v>
      </c>
      <c r="AL31" s="156">
        <f>IF('Cブロック対戦表 '!Q112="","",'Cブロック対戦表 '!Q112)</f>
        <v>1</v>
      </c>
      <c r="AM31" s="236" t="str">
        <f>IF(AN31="","",(IF(AN31-AP31&gt;0,"○",IF(AN31-AP31&lt;0,"●","△"))))</f>
        <v/>
      </c>
      <c r="AN31" s="158"/>
      <c r="AO31" s="153" t="s">
        <v>339</v>
      </c>
      <c r="AP31" s="237"/>
      <c r="AQ31" s="159">
        <f t="shared" ref="AQ31:AQ39" si="38">SUM(AS31:AU31)</f>
        <v>6</v>
      </c>
      <c r="AR31" s="160">
        <f t="shared" ref="AR31:AR39" si="39">AS31*3+AU31</f>
        <v>18</v>
      </c>
      <c r="AS31" s="160">
        <f t="shared" ref="AS31:AS39" si="40">COUNTIF(C31:AM31,"○")</f>
        <v>6</v>
      </c>
      <c r="AT31" s="160">
        <f>COUNTIF(C31:AM31,"●")</f>
        <v>0</v>
      </c>
      <c r="AU31" s="161">
        <f t="shared" ref="AU31:AU39" si="41">COUNTIF(C31:AM31,"△")</f>
        <v>0</v>
      </c>
      <c r="AV31" s="162">
        <f t="shared" ref="AV31:AV39" si="42">AW31-SUM(F31,J31,N31,R31,V31,Z31,AD31,AH31,AL31,AP31)</f>
        <v>24</v>
      </c>
      <c r="AW31" s="163">
        <f t="shared" ref="AW31:AW39" si="43">SUM(D31,H31,L31,P31,T31,X31,AB31,AF31,AJ31,AN31)</f>
        <v>26</v>
      </c>
      <c r="AX31" s="164">
        <f>RANK(AY31,AY$31:AY$39)</f>
        <v>1</v>
      </c>
      <c r="AY31" s="154">
        <f t="shared" ref="AY31:AY39" si="44">AR31*10000+AV31*100+AW31</f>
        <v>182426</v>
      </c>
      <c r="AZ31" s="265">
        <f t="shared" si="30"/>
        <v>1</v>
      </c>
    </row>
    <row r="32" spans="1:52" ht="25.5" customHeight="1" x14ac:dyDescent="0.4">
      <c r="A32" s="167">
        <v>2</v>
      </c>
      <c r="B32" s="248" t="str">
        <f>VLOOKUP(A32,U12組合せ!B$10:K$20,7,TRUE)</f>
        <v>カテット白沢SS</v>
      </c>
      <c r="C32" s="209" t="str">
        <f t="shared" ref="C32:C39" si="45">IF(D32="","",(IF(D32-F32&gt;0,"○",IF(D32-F32&lt;0,"●","△"))))</f>
        <v>●</v>
      </c>
      <c r="D32" s="168">
        <f>IF(J31="","",J31)</f>
        <v>0</v>
      </c>
      <c r="E32" s="169" t="s">
        <v>343</v>
      </c>
      <c r="F32" s="170">
        <f>IF(H31="","",H31)</f>
        <v>8</v>
      </c>
      <c r="G32" s="981"/>
      <c r="H32" s="982"/>
      <c r="I32" s="982"/>
      <c r="J32" s="983"/>
      <c r="K32" s="152" t="str">
        <f>IF(L32="","",(IF(L32-N32&gt;0,"○",IF(L32-N32&lt;0,"●","△"))))</f>
        <v>●</v>
      </c>
      <c r="L32" s="234">
        <f>IF('Cブロック対戦表 '!V15="","",'Cブロック対戦表 '!V15)</f>
        <v>0</v>
      </c>
      <c r="M32" s="171" t="s">
        <v>339</v>
      </c>
      <c r="N32" s="154">
        <f>IF('Cブロック対戦表 '!Q15="","",'Cブロック対戦表 '!Q15)</f>
        <v>2</v>
      </c>
      <c r="O32" s="183" t="str">
        <f>IF(P32="","",(IF(P32-R32&gt;0,"○",IF(P32-R32&lt;0,"●","△"))))</f>
        <v>△</v>
      </c>
      <c r="P32" s="238">
        <f>IF('Cブロック対戦表 '!Q236="","",'Cブロック対戦表 '!Q236)</f>
        <v>1</v>
      </c>
      <c r="Q32" s="171" t="s">
        <v>339</v>
      </c>
      <c r="R32" s="172">
        <f>IF('Cブロック対戦表 '!V236="","",'Cブロック対戦表 '!V236)</f>
        <v>1</v>
      </c>
      <c r="S32" s="183" t="str">
        <f>IF(T32="","",(IF(T32-V32&gt;0,"○",IF(T32-V32&lt;0,"●","△"))))</f>
        <v/>
      </c>
      <c r="T32" s="173" t="str">
        <f>IF('Cブロック対戦表 '!Q332="","",'Cブロック対戦表 '!Q332)</f>
        <v/>
      </c>
      <c r="U32" s="174" t="s">
        <v>339</v>
      </c>
      <c r="V32" s="175" t="str">
        <f>IF('Cブロック対戦表 '!V332="","",'Cブロック対戦表 '!V332)</f>
        <v/>
      </c>
      <c r="W32" s="152" t="str">
        <f>IF(X32="","",(IF(X32-Z32&gt;0,"○",IF(X32-Z32&lt;0,"●","△"))))</f>
        <v>○</v>
      </c>
      <c r="X32" s="176">
        <f>IF('Cブロック対戦表 '!Q140="","",'Cブロック対戦表 '!Q140)</f>
        <v>3</v>
      </c>
      <c r="Y32" s="174" t="s">
        <v>339</v>
      </c>
      <c r="Z32" s="176">
        <f>IF('Cブロック対戦表 '!V140="","",'Cブロック対戦表 '!V140)</f>
        <v>0</v>
      </c>
      <c r="AA32" s="152" t="str">
        <f t="shared" si="35"/>
        <v>△</v>
      </c>
      <c r="AB32" s="176">
        <f>IF('Cブロック対戦表 '!V144="","",'Cブロック対戦表 '!V144)</f>
        <v>1</v>
      </c>
      <c r="AC32" s="174" t="s">
        <v>339</v>
      </c>
      <c r="AD32" s="176">
        <f>IF('Cブロック対戦表 '!Q144="","",'Cブロック対戦表 '!Q144)</f>
        <v>1</v>
      </c>
      <c r="AE32" s="239" t="str">
        <f t="shared" si="36"/>
        <v/>
      </c>
      <c r="AF32" s="240" t="str">
        <f>IF('Cブロック対戦表 '!V334="","",'Cブロック対戦表 '!V334)</f>
        <v/>
      </c>
      <c r="AG32" s="177" t="s">
        <v>339</v>
      </c>
      <c r="AH32" s="241" t="str">
        <f>IF('Cブロック対戦表 '!Q334="","",'Cブロック対戦表 '!Q334)</f>
        <v/>
      </c>
      <c r="AI32" s="152" t="str">
        <f t="shared" si="37"/>
        <v>●</v>
      </c>
      <c r="AJ32" s="172">
        <f>IF('Cブロック対戦表 '!V240="","",'Cブロック対戦表 '!V240)</f>
        <v>0</v>
      </c>
      <c r="AK32" s="171" t="s">
        <v>339</v>
      </c>
      <c r="AL32" s="210">
        <f>IF('Cブロック対戦表 '!Q240="","",'Cブロック対戦表 '!Q240)</f>
        <v>4</v>
      </c>
      <c r="AM32" s="209"/>
      <c r="AN32" s="172"/>
      <c r="AO32" s="171" t="s">
        <v>339</v>
      </c>
      <c r="AP32" s="178"/>
      <c r="AQ32" s="159">
        <f t="shared" si="38"/>
        <v>6</v>
      </c>
      <c r="AR32" s="160">
        <f t="shared" si="39"/>
        <v>5</v>
      </c>
      <c r="AS32" s="160">
        <f t="shared" si="40"/>
        <v>1</v>
      </c>
      <c r="AT32" s="160">
        <f t="shared" ref="AT32:AT39" si="46">COUNTIF(C32:AM32,"●")</f>
        <v>3</v>
      </c>
      <c r="AU32" s="161">
        <f t="shared" si="41"/>
        <v>2</v>
      </c>
      <c r="AV32" s="162">
        <f t="shared" si="42"/>
        <v>-11</v>
      </c>
      <c r="AW32" s="163">
        <f t="shared" si="43"/>
        <v>5</v>
      </c>
      <c r="AX32" s="164">
        <f t="shared" ref="AX32:AX39" si="47">RANK(AY32,AY$31:AY$39)</f>
        <v>8</v>
      </c>
      <c r="AY32" s="154">
        <f t="shared" si="44"/>
        <v>48905</v>
      </c>
      <c r="AZ32" s="164">
        <f t="shared" si="30"/>
        <v>22</v>
      </c>
    </row>
    <row r="33" spans="1:52" ht="25.5" customHeight="1" x14ac:dyDescent="0.4">
      <c r="A33" s="167">
        <v>3</v>
      </c>
      <c r="B33" s="248" t="str">
        <f>VLOOKUP(A33,U12組合せ!B$10:K$20,7,TRUE)</f>
        <v>リフレSCチェルビアット</v>
      </c>
      <c r="C33" s="209" t="str">
        <f t="shared" si="45"/>
        <v>●</v>
      </c>
      <c r="D33" s="179">
        <f>IF(N31="","",N31)</f>
        <v>0</v>
      </c>
      <c r="E33" s="180" t="s">
        <v>343</v>
      </c>
      <c r="F33" s="181">
        <f>IF(L31="","",L31)</f>
        <v>4</v>
      </c>
      <c r="G33" s="152" t="str">
        <f t="shared" ref="G33:G39" si="48">IF(H33="","",(IF(H33-J33&gt;0,"○",IF(H33-J33&lt;0,"●","△"))))</f>
        <v>○</v>
      </c>
      <c r="H33" s="168">
        <f>IF(N32="","",N32)</f>
        <v>2</v>
      </c>
      <c r="I33" s="169" t="s">
        <v>343</v>
      </c>
      <c r="J33" s="170">
        <f>IF(L32="","",L32)</f>
        <v>0</v>
      </c>
      <c r="K33" s="973"/>
      <c r="L33" s="971"/>
      <c r="M33" s="971"/>
      <c r="N33" s="971"/>
      <c r="O33" s="152" t="str">
        <f>IF(P33="","",(IF(P33-R33&gt;0,"○",IF(P33-R33&lt;0,"●","△"))))</f>
        <v>△</v>
      </c>
      <c r="P33" s="234">
        <f>IF('Cブロック対戦表 '!Q172="","",'Cブロック対戦表 '!Q172)</f>
        <v>2</v>
      </c>
      <c r="Q33" s="171" t="s">
        <v>339</v>
      </c>
      <c r="R33" s="234">
        <f>IF('Cブロック対戦表 '!V172="","",'Cブロック対戦表 '!V172)</f>
        <v>2</v>
      </c>
      <c r="S33" s="152" t="str">
        <f>IF(T33="","",(IF(T33-V33&gt;0,"○",IF(T33-V33&lt;0,"●","△"))))</f>
        <v>○</v>
      </c>
      <c r="T33" s="172">
        <f>IF('Cブロック対戦表 '!Q268="","",'Cブロック対戦表 '!Q268)</f>
        <v>5</v>
      </c>
      <c r="U33" s="171" t="s">
        <v>339</v>
      </c>
      <c r="V33" s="172">
        <f>IF('Cブロック対戦表 '!V268="","",'Cブロック対戦表 '!V268)</f>
        <v>1</v>
      </c>
      <c r="W33" s="152" t="str">
        <f>IF(X33="","",(IF(X33-Z33&gt;0,"○",IF(X33-Z33&lt;0,"●","△"))))</f>
        <v/>
      </c>
      <c r="X33" s="154" t="str">
        <f>IF('Cブロック対戦表 '!Q364="","",'Cブロック対戦表 '!Q364)</f>
        <v/>
      </c>
      <c r="Y33" s="171" t="s">
        <v>339</v>
      </c>
      <c r="Z33" s="154" t="str">
        <f>IF('Cブロック対戦表 '!V364="","",'Cブロック対戦表 '!V364)</f>
        <v/>
      </c>
      <c r="AA33" s="152" t="str">
        <f t="shared" si="35"/>
        <v>○</v>
      </c>
      <c r="AB33" s="172">
        <f>IF('Cブロック対戦表 '!V272="","",'Cブロック対戦表 '!V272)</f>
        <v>3</v>
      </c>
      <c r="AC33" s="171" t="s">
        <v>339</v>
      </c>
      <c r="AD33" s="172">
        <f>IF('Cブロック対戦表 '!Q272="","",'Cブロック対戦表 '!Q272)</f>
        <v>1</v>
      </c>
      <c r="AE33" s="182" t="str">
        <f t="shared" si="36"/>
        <v>△</v>
      </c>
      <c r="AF33" s="176">
        <f>IF('Cブロック対戦表 '!V176="","",'Cブロック対戦表 '!V176)</f>
        <v>3</v>
      </c>
      <c r="AG33" s="174" t="s">
        <v>339</v>
      </c>
      <c r="AH33" s="175">
        <f>IF('Cブロック対戦表 '!Q176="","",'Cブロック対戦表 '!Q176)</f>
        <v>3</v>
      </c>
      <c r="AI33" s="183" t="str">
        <f t="shared" si="37"/>
        <v/>
      </c>
      <c r="AJ33" s="172" t="str">
        <f>IF('Cブロック対戦表 '!V366="","",'Cブロック対戦表 '!V366)</f>
        <v/>
      </c>
      <c r="AK33" s="171" t="s">
        <v>339</v>
      </c>
      <c r="AL33" s="210" t="str">
        <f>IF('Cブロック対戦表 '!Q366="","",'Cブロック対戦表 '!Q366)</f>
        <v/>
      </c>
      <c r="AM33" s="211"/>
      <c r="AN33" s="172"/>
      <c r="AO33" s="171" t="s">
        <v>339</v>
      </c>
      <c r="AP33" s="178"/>
      <c r="AQ33" s="159">
        <f t="shared" si="38"/>
        <v>6</v>
      </c>
      <c r="AR33" s="160">
        <f t="shared" si="39"/>
        <v>11</v>
      </c>
      <c r="AS33" s="160">
        <f t="shared" si="40"/>
        <v>3</v>
      </c>
      <c r="AT33" s="160">
        <f t="shared" si="46"/>
        <v>1</v>
      </c>
      <c r="AU33" s="161">
        <f t="shared" si="41"/>
        <v>2</v>
      </c>
      <c r="AV33" s="162">
        <f t="shared" si="42"/>
        <v>4</v>
      </c>
      <c r="AW33" s="163">
        <f t="shared" si="43"/>
        <v>15</v>
      </c>
      <c r="AX33" s="164">
        <f t="shared" si="47"/>
        <v>2</v>
      </c>
      <c r="AY33" s="154">
        <f t="shared" si="44"/>
        <v>110415</v>
      </c>
      <c r="AZ33" s="164">
        <f t="shared" si="30"/>
        <v>9</v>
      </c>
    </row>
    <row r="34" spans="1:52" ht="25.5" customHeight="1" x14ac:dyDescent="0.4">
      <c r="A34" s="167">
        <v>4</v>
      </c>
      <c r="B34" s="248" t="str">
        <f>VLOOKUP(A34,U12組合せ!B$10:K$20,7,TRUE)</f>
        <v>ともぞうSC　U11</v>
      </c>
      <c r="C34" s="209" t="str">
        <f t="shared" si="45"/>
        <v/>
      </c>
      <c r="D34" s="179" t="str">
        <f>IF(R31="","",R31)</f>
        <v/>
      </c>
      <c r="E34" s="180" t="s">
        <v>343</v>
      </c>
      <c r="F34" s="181" t="str">
        <f>IF(P31="","",P31)</f>
        <v/>
      </c>
      <c r="G34" s="152" t="str">
        <f t="shared" si="48"/>
        <v>△</v>
      </c>
      <c r="H34" s="179">
        <f>IF(R32="","",R32)</f>
        <v>1</v>
      </c>
      <c r="I34" s="180" t="s">
        <v>343</v>
      </c>
      <c r="J34" s="181">
        <f>IF(P32="","",P32)</f>
        <v>1</v>
      </c>
      <c r="K34" s="152" t="str">
        <f t="shared" ref="K34:K39" si="49">IF(L34="","",(IF(L34-N34&gt;0,"○",IF(L34-N34&lt;0,"●","△"))))</f>
        <v>△</v>
      </c>
      <c r="L34" s="184">
        <f>IF(R33="","",R33)</f>
        <v>2</v>
      </c>
      <c r="M34" s="174" t="s">
        <v>343</v>
      </c>
      <c r="N34" s="185">
        <f>IF(P33="","",P33)</f>
        <v>2</v>
      </c>
      <c r="O34" s="971"/>
      <c r="P34" s="971"/>
      <c r="Q34" s="971"/>
      <c r="R34" s="972"/>
      <c r="S34" s="152" t="str">
        <f>IF(T34="","",(IF(T34-V34&gt;0,"○",IF(T34-V34&lt;0,"●","△"))))</f>
        <v/>
      </c>
      <c r="T34" s="154" t="str">
        <f>IF('Cブロック対戦表 '!Q396="","",'Cブロック対戦表 '!Q396)</f>
        <v/>
      </c>
      <c r="U34" s="171" t="s">
        <v>339</v>
      </c>
      <c r="V34" s="154" t="str">
        <f>IF('Cブロック対戦表 '!V396="","",'Cブロック対戦表 '!V396)</f>
        <v/>
      </c>
      <c r="W34" s="152" t="str">
        <f>IF(X34="","",(IF(X34-Z34&gt;0,"○",IF(X34-Z34&lt;0,"●","△"))))</f>
        <v/>
      </c>
      <c r="X34" s="173" t="str">
        <f>IF('Cブロック対戦表 '!Q398="","",'Cブロック対戦表 '!Q398)</f>
        <v/>
      </c>
      <c r="Y34" s="174" t="s">
        <v>339</v>
      </c>
      <c r="Z34" s="175" t="str">
        <f>IF('Cブロック対戦表 '!V398="","",'Cブロック対戦表 '!V368)</f>
        <v/>
      </c>
      <c r="AA34" s="152" t="str">
        <f t="shared" si="35"/>
        <v/>
      </c>
      <c r="AB34" s="173" t="str">
        <f>IF('Cブロック対戦表 '!V302="","",'Cブロック対戦表 '!V302)</f>
        <v/>
      </c>
      <c r="AC34" s="174" t="s">
        <v>339</v>
      </c>
      <c r="AD34" s="175" t="str">
        <f>IF('Cブロック対戦表 '!Q302="","",'Cブロック対戦表 '!Q302)</f>
        <v/>
      </c>
      <c r="AE34" s="152" t="str">
        <f t="shared" si="36"/>
        <v>○</v>
      </c>
      <c r="AF34" s="154">
        <f>IF('Cブロック対戦表 '!V174="","",'Cブロック対戦表 '!V174)</f>
        <v>2</v>
      </c>
      <c r="AG34" s="171" t="s">
        <v>339</v>
      </c>
      <c r="AH34" s="154">
        <f>IF('Cブロック対戦表 '!Q174="","",'Cブロック対戦表 '!Q174)</f>
        <v>1</v>
      </c>
      <c r="AI34" s="152" t="str">
        <f t="shared" si="37"/>
        <v>○</v>
      </c>
      <c r="AJ34" s="172">
        <f>IF('Cブロック対戦表 '!V238="","",'Cブロック対戦表 '!V238)</f>
        <v>3</v>
      </c>
      <c r="AK34" s="171" t="s">
        <v>339</v>
      </c>
      <c r="AL34" s="210">
        <f>IF('Cブロック対戦表 '!Q238="","",'Cブロック対戦表 '!Q238)</f>
        <v>1</v>
      </c>
      <c r="AM34" s="209"/>
      <c r="AN34" s="172"/>
      <c r="AO34" s="171" t="s">
        <v>339</v>
      </c>
      <c r="AP34" s="178"/>
      <c r="AQ34" s="159">
        <f t="shared" si="38"/>
        <v>4</v>
      </c>
      <c r="AR34" s="160">
        <f t="shared" si="39"/>
        <v>8</v>
      </c>
      <c r="AS34" s="160">
        <f t="shared" si="40"/>
        <v>2</v>
      </c>
      <c r="AT34" s="160">
        <f t="shared" si="46"/>
        <v>0</v>
      </c>
      <c r="AU34" s="161">
        <f t="shared" si="41"/>
        <v>2</v>
      </c>
      <c r="AV34" s="162">
        <f>AW34-SUM(F34,J34,N34,R34,V34,Z34,AD34,AH34,AL34,AP34)</f>
        <v>3</v>
      </c>
      <c r="AW34" s="163">
        <f t="shared" si="43"/>
        <v>8</v>
      </c>
      <c r="AX34" s="164">
        <f t="shared" si="47"/>
        <v>5</v>
      </c>
      <c r="AY34" s="154">
        <f t="shared" si="44"/>
        <v>80308</v>
      </c>
      <c r="AZ34" s="164">
        <f t="shared" si="30"/>
        <v>14</v>
      </c>
    </row>
    <row r="35" spans="1:52" ht="25.5" customHeight="1" x14ac:dyDescent="0.4">
      <c r="A35" s="167">
        <v>5</v>
      </c>
      <c r="B35" s="248" t="str">
        <f>VLOOKUP(A35,U12組合せ!B$10:K$20,7,TRUE)</f>
        <v>豊郷JFC宇都宮U-12</v>
      </c>
      <c r="C35" s="209" t="str">
        <f t="shared" si="45"/>
        <v>●</v>
      </c>
      <c r="D35" s="179">
        <f>IF(V31="","",V31)</f>
        <v>0</v>
      </c>
      <c r="E35" s="180" t="s">
        <v>343</v>
      </c>
      <c r="F35" s="181">
        <f>IF(T31="","",T31)</f>
        <v>4</v>
      </c>
      <c r="G35" s="152" t="str">
        <f t="shared" si="48"/>
        <v/>
      </c>
      <c r="H35" s="179" t="str">
        <f>IF(V32="","",V32)</f>
        <v/>
      </c>
      <c r="I35" s="180" t="s">
        <v>343</v>
      </c>
      <c r="J35" s="181" t="str">
        <f>IF(T32="","",T32)</f>
        <v/>
      </c>
      <c r="K35" s="152" t="str">
        <f t="shared" si="49"/>
        <v>●</v>
      </c>
      <c r="L35" s="184">
        <f>IF(V33="","",V33)</f>
        <v>1</v>
      </c>
      <c r="M35" s="174" t="s">
        <v>343</v>
      </c>
      <c r="N35" s="184">
        <f>IF(T33="","",T33)</f>
        <v>5</v>
      </c>
      <c r="O35" s="152" t="str">
        <f t="shared" ref="O35:O40" si="50">IF(P35="","",(IF(P35-R35&gt;0,"○",IF(P35-R35&lt;0,"●","△"))))</f>
        <v/>
      </c>
      <c r="P35" s="184" t="str">
        <f>IF(V34="","",V34)</f>
        <v/>
      </c>
      <c r="Q35" s="174" t="s">
        <v>343</v>
      </c>
      <c r="R35" s="185" t="str">
        <f>IF(T34="","",T34)</f>
        <v/>
      </c>
      <c r="S35" s="973"/>
      <c r="T35" s="971"/>
      <c r="U35" s="971"/>
      <c r="V35" s="972"/>
      <c r="W35" s="152" t="str">
        <f>IF(X35="","",(IF(X35-Z35&gt;0,"○",IF(X35-Z35&lt;0,"●","△"))))</f>
        <v>○</v>
      </c>
      <c r="X35" s="173">
        <f>IF('Cブロック対戦表 '!Q78="","",'Cブロック対戦表 '!Q78)</f>
        <v>5</v>
      </c>
      <c r="Y35" s="174" t="s">
        <v>339</v>
      </c>
      <c r="Z35" s="175">
        <f>IF('Cブロック対戦表 '!V78="","",'Cブロック対戦表 '!V78)</f>
        <v>0</v>
      </c>
      <c r="AA35" s="152" t="str">
        <f t="shared" si="35"/>
        <v>○</v>
      </c>
      <c r="AB35" s="172">
        <f>IF('Cブロック対戦表 '!V270="","",'Cブロック対戦表 '!V270)</f>
        <v>4</v>
      </c>
      <c r="AC35" s="171" t="s">
        <v>339</v>
      </c>
      <c r="AD35" s="172">
        <f>IF('Cブロック対戦表 '!Q270="","",'Cブロック対戦表 '!Q270)</f>
        <v>3</v>
      </c>
      <c r="AE35" s="152" t="str">
        <f t="shared" si="36"/>
        <v>△</v>
      </c>
      <c r="AF35" s="173">
        <f>IF('Cブロック対戦表 '!Q45="","",'Cブロック対戦表 '!Q45)</f>
        <v>2</v>
      </c>
      <c r="AG35" s="174" t="s">
        <v>339</v>
      </c>
      <c r="AH35" s="175">
        <f>IF('Cブロック対戦表 '!V45="","",'Cブロック対戦表 '!V45)</f>
        <v>2</v>
      </c>
      <c r="AI35" s="152" t="str">
        <f t="shared" si="37"/>
        <v>○</v>
      </c>
      <c r="AJ35" s="173">
        <f>IF('Cブロック対戦表 '!V110="","",'Cブロック対戦表 '!V110)</f>
        <v>3</v>
      </c>
      <c r="AK35" s="174" t="s">
        <v>339</v>
      </c>
      <c r="AL35" s="175">
        <f>IF('Cブロック対戦表 '!Q110="","",'Cブロック対戦表 '!Q110)</f>
        <v>1</v>
      </c>
      <c r="AM35" s="209"/>
      <c r="AN35" s="173"/>
      <c r="AO35" s="174" t="s">
        <v>339</v>
      </c>
      <c r="AP35" s="186"/>
      <c r="AQ35" s="159">
        <f t="shared" si="38"/>
        <v>6</v>
      </c>
      <c r="AR35" s="160">
        <f t="shared" si="39"/>
        <v>10</v>
      </c>
      <c r="AS35" s="160">
        <f t="shared" si="40"/>
        <v>3</v>
      </c>
      <c r="AT35" s="160">
        <f t="shared" si="46"/>
        <v>2</v>
      </c>
      <c r="AU35" s="161">
        <f t="shared" si="41"/>
        <v>1</v>
      </c>
      <c r="AV35" s="162">
        <f t="shared" si="42"/>
        <v>0</v>
      </c>
      <c r="AW35" s="163">
        <f t="shared" si="43"/>
        <v>15</v>
      </c>
      <c r="AX35" s="164">
        <f t="shared" si="47"/>
        <v>3</v>
      </c>
      <c r="AY35" s="154">
        <f t="shared" si="44"/>
        <v>100015</v>
      </c>
      <c r="AZ35" s="164">
        <f t="shared" si="30"/>
        <v>10</v>
      </c>
    </row>
    <row r="36" spans="1:52" ht="25.5" customHeight="1" x14ac:dyDescent="0.4">
      <c r="A36" s="167">
        <v>6</v>
      </c>
      <c r="B36" s="248" t="str">
        <f>VLOOKUP(A36,U12組合せ!B$10:K$20,7,TRUE)</f>
        <v>シャルムグランツSC</v>
      </c>
      <c r="C36" s="209" t="str">
        <f t="shared" si="45"/>
        <v>●</v>
      </c>
      <c r="D36" s="179">
        <f>IF(Z31="","",Z31)</f>
        <v>1</v>
      </c>
      <c r="E36" s="180" t="s">
        <v>343</v>
      </c>
      <c r="F36" s="181">
        <f>IF(X31="","",X31)</f>
        <v>5</v>
      </c>
      <c r="G36" s="152" t="str">
        <f t="shared" si="48"/>
        <v>●</v>
      </c>
      <c r="H36" s="179">
        <f>IF(Z32="","",Z32)</f>
        <v>0</v>
      </c>
      <c r="I36" s="180" t="s">
        <v>343</v>
      </c>
      <c r="J36" s="181">
        <f>IF(X32="","",X32)</f>
        <v>3</v>
      </c>
      <c r="K36" s="152" t="str">
        <f t="shared" si="49"/>
        <v/>
      </c>
      <c r="L36" s="184" t="str">
        <f>IF(Z33="","",Z33)</f>
        <v/>
      </c>
      <c r="M36" s="174" t="s">
        <v>343</v>
      </c>
      <c r="N36" s="184" t="str">
        <f>IF(X33="","",X33)</f>
        <v/>
      </c>
      <c r="O36" s="152" t="str">
        <f t="shared" si="50"/>
        <v/>
      </c>
      <c r="P36" s="184" t="str">
        <f>IF(Z34="","",Z34)</f>
        <v/>
      </c>
      <c r="Q36" s="174" t="s">
        <v>343</v>
      </c>
      <c r="R36" s="185" t="str">
        <f>IF(X34="","",X34)</f>
        <v/>
      </c>
      <c r="S36" s="152" t="str">
        <f>IF(T36="","",(IF(T36-V36&gt;0,"○",IF(T36-V36&lt;0,"●","△"))))</f>
        <v>●</v>
      </c>
      <c r="T36" s="184">
        <f>IF(Z35="","",Z35)</f>
        <v>0</v>
      </c>
      <c r="U36" s="174" t="s">
        <v>343</v>
      </c>
      <c r="V36" s="185">
        <f>IF(X35="","",X35)</f>
        <v>5</v>
      </c>
      <c r="W36" s="973"/>
      <c r="X36" s="971"/>
      <c r="Y36" s="971"/>
      <c r="Z36" s="972"/>
      <c r="AA36" s="152" t="str">
        <f t="shared" si="35"/>
        <v>●</v>
      </c>
      <c r="AB36" s="176">
        <f>IF('Cブロック対戦表 '!V142="","",'Cブロック対戦表 '!V142)</f>
        <v>0</v>
      </c>
      <c r="AC36" s="174" t="s">
        <v>339</v>
      </c>
      <c r="AD36" s="176">
        <f>IF('Cブロック対戦表 '!Q142="","",'Cブロック対戦表 '!Q142)</f>
        <v>3</v>
      </c>
      <c r="AE36" s="152" t="str">
        <f t="shared" si="36"/>
        <v>●</v>
      </c>
      <c r="AF36" s="172">
        <f>IF('Cブロック対戦表 '!V206="","",'Cブロック対戦表 '!V206)</f>
        <v>0</v>
      </c>
      <c r="AG36" s="171" t="s">
        <v>339</v>
      </c>
      <c r="AH36" s="172">
        <f>IF('Cブロック対戦表 '!Q206="","",'Cブロック対戦表 '!Q206)</f>
        <v>6</v>
      </c>
      <c r="AI36" s="152" t="str">
        <f t="shared" si="37"/>
        <v>●</v>
      </c>
      <c r="AJ36" s="173">
        <f>IF('Cブロック対戦表 '!Q76="","",'Cブロック対戦表 '!Q76)</f>
        <v>1</v>
      </c>
      <c r="AK36" s="174" t="s">
        <v>339</v>
      </c>
      <c r="AL36" s="175">
        <f>IF('Cブロック対戦表 '!V76="","",'Cブロック対戦表 '!V76)</f>
        <v>6</v>
      </c>
      <c r="AM36" s="209"/>
      <c r="AN36" s="173"/>
      <c r="AO36" s="174" t="s">
        <v>339</v>
      </c>
      <c r="AP36" s="187"/>
      <c r="AQ36" s="159">
        <f t="shared" si="38"/>
        <v>6</v>
      </c>
      <c r="AR36" s="160">
        <f t="shared" si="39"/>
        <v>0</v>
      </c>
      <c r="AS36" s="160">
        <f t="shared" si="40"/>
        <v>0</v>
      </c>
      <c r="AT36" s="160">
        <f t="shared" si="46"/>
        <v>6</v>
      </c>
      <c r="AU36" s="161">
        <f t="shared" si="41"/>
        <v>0</v>
      </c>
      <c r="AV36" s="162">
        <f t="shared" si="42"/>
        <v>-26</v>
      </c>
      <c r="AW36" s="163">
        <f>SUM(D36,H36,L36,P36,T36,X36,AB36,AF36,AJ36,AN36)</f>
        <v>2</v>
      </c>
      <c r="AX36" s="164">
        <f t="shared" si="47"/>
        <v>9</v>
      </c>
      <c r="AY36" s="154">
        <f t="shared" si="44"/>
        <v>-2598</v>
      </c>
      <c r="AZ36" s="164">
        <f t="shared" si="30"/>
        <v>26</v>
      </c>
    </row>
    <row r="37" spans="1:52" ht="25.5" customHeight="1" x14ac:dyDescent="0.4">
      <c r="A37" s="167">
        <v>7</v>
      </c>
      <c r="B37" s="248" t="str">
        <f>VLOOKUP(A37,U12組合せ!B$10:K$20,7,TRUE)</f>
        <v>雀宮FC</v>
      </c>
      <c r="C37" s="209" t="str">
        <f t="shared" si="45"/>
        <v/>
      </c>
      <c r="D37" s="179" t="str">
        <f>IF(AD31="","",AD31)</f>
        <v/>
      </c>
      <c r="E37" s="180" t="s">
        <v>343</v>
      </c>
      <c r="F37" s="181" t="str">
        <f>IF(AB31="","",AB31)</f>
        <v/>
      </c>
      <c r="G37" s="152" t="str">
        <f t="shared" si="48"/>
        <v>△</v>
      </c>
      <c r="H37" s="179">
        <f>IF(AD32="","",AD32)</f>
        <v>1</v>
      </c>
      <c r="I37" s="180" t="s">
        <v>343</v>
      </c>
      <c r="J37" s="181">
        <f>IF(AB32="","",AB32)</f>
        <v>1</v>
      </c>
      <c r="K37" s="152" t="str">
        <f t="shared" si="49"/>
        <v>●</v>
      </c>
      <c r="L37" s="184">
        <f>IF(AD33="","",AD33)</f>
        <v>1</v>
      </c>
      <c r="M37" s="174" t="s">
        <v>343</v>
      </c>
      <c r="N37" s="184">
        <f>IF(AB33="","",AB33)</f>
        <v>3</v>
      </c>
      <c r="O37" s="152" t="str">
        <f t="shared" si="50"/>
        <v/>
      </c>
      <c r="P37" s="184" t="str">
        <f>IF(AD34="","",AD34)</f>
        <v/>
      </c>
      <c r="Q37" s="174" t="s">
        <v>343</v>
      </c>
      <c r="R37" s="185" t="str">
        <f>IF(AB34="","",AB34)</f>
        <v/>
      </c>
      <c r="S37" s="152" t="str">
        <f>IF(T37="","",(IF(T37-V37&gt;0,"○",IF(T37-V37&lt;0,"●","△"))))</f>
        <v>●</v>
      </c>
      <c r="T37" s="184">
        <f>IF(AD35="","",AD35)</f>
        <v>3</v>
      </c>
      <c r="U37" s="174" t="s">
        <v>343</v>
      </c>
      <c r="V37" s="185">
        <f>IF(AB35="","",AB35)</f>
        <v>4</v>
      </c>
      <c r="W37" s="152" t="str">
        <f>IF(X37="","",(IF(X37-Z37&gt;0,"○",IF(X37-Z37&lt;0,"●","△"))))</f>
        <v>○</v>
      </c>
      <c r="X37" s="184">
        <f>IF(AD36="","",AD36)</f>
        <v>3</v>
      </c>
      <c r="Y37" s="174" t="s">
        <v>343</v>
      </c>
      <c r="Z37" s="185">
        <f>IF(AB36="","",AB36)</f>
        <v>0</v>
      </c>
      <c r="AA37" s="973"/>
      <c r="AB37" s="971"/>
      <c r="AC37" s="971"/>
      <c r="AD37" s="972"/>
      <c r="AE37" s="152" t="str">
        <f t="shared" si="36"/>
        <v>●</v>
      </c>
      <c r="AF37" s="242">
        <f>IF('Cブロック対戦表 '!Q47="","",'Cブロック対戦表 '!Q47)</f>
        <v>1</v>
      </c>
      <c r="AG37" s="171" t="s">
        <v>339</v>
      </c>
      <c r="AH37" s="242">
        <f>IF('Cブロック対戦表 '!V47="","",'Cブロック対戦表 '!V47)</f>
        <v>3</v>
      </c>
      <c r="AI37" s="183" t="str">
        <f t="shared" si="37"/>
        <v>△</v>
      </c>
      <c r="AJ37" s="188">
        <f>IF('Cブロック対戦表 '!Q49="","",'Cブロック対戦表 '!Q49)</f>
        <v>0</v>
      </c>
      <c r="AK37" s="171" t="s">
        <v>339</v>
      </c>
      <c r="AL37" s="175">
        <f>IF('Cブロック対戦表 '!V49="","",'Cブロック対戦表 '!V49)</f>
        <v>0</v>
      </c>
      <c r="AM37" s="211"/>
      <c r="AN37" s="188"/>
      <c r="AO37" s="171" t="s">
        <v>339</v>
      </c>
      <c r="AP37" s="187"/>
      <c r="AQ37" s="159">
        <f t="shared" si="38"/>
        <v>6</v>
      </c>
      <c r="AR37" s="160">
        <f t="shared" si="39"/>
        <v>5</v>
      </c>
      <c r="AS37" s="160">
        <f t="shared" si="40"/>
        <v>1</v>
      </c>
      <c r="AT37" s="160">
        <f t="shared" si="46"/>
        <v>3</v>
      </c>
      <c r="AU37" s="161">
        <f t="shared" si="41"/>
        <v>2</v>
      </c>
      <c r="AV37" s="162">
        <f>AW37-SUM(F37,J37,N37,R37,V37,Z37,AD37,AH37,AL37,AP37)</f>
        <v>-2</v>
      </c>
      <c r="AW37" s="163">
        <f t="shared" si="43"/>
        <v>9</v>
      </c>
      <c r="AX37" s="164">
        <f t="shared" si="47"/>
        <v>7</v>
      </c>
      <c r="AY37" s="154">
        <f t="shared" si="44"/>
        <v>49809</v>
      </c>
      <c r="AZ37" s="164">
        <f t="shared" si="30"/>
        <v>21</v>
      </c>
    </row>
    <row r="38" spans="1:52" ht="30" customHeight="1" x14ac:dyDescent="0.4">
      <c r="A38" s="167">
        <v>8</v>
      </c>
      <c r="B38" s="248" t="str">
        <f>VLOOKUP(A38,U12組合せ!B$10:K$20,7,TRUE)</f>
        <v>FCみらいP</v>
      </c>
      <c r="C38" s="209" t="str">
        <f t="shared" si="45"/>
        <v>●</v>
      </c>
      <c r="D38" s="179">
        <f>IF(AH31="","",AH31)</f>
        <v>0</v>
      </c>
      <c r="E38" s="180" t="s">
        <v>343</v>
      </c>
      <c r="F38" s="181">
        <f>IF(AF31="","",AF31)</f>
        <v>2</v>
      </c>
      <c r="G38" s="152" t="str">
        <f t="shared" si="48"/>
        <v/>
      </c>
      <c r="H38" s="179" t="str">
        <f>IF(AH32="","",AH32)</f>
        <v/>
      </c>
      <c r="I38" s="180" t="s">
        <v>343</v>
      </c>
      <c r="J38" s="181" t="str">
        <f>IF(AF32="","",AF32)</f>
        <v/>
      </c>
      <c r="K38" s="152" t="str">
        <f t="shared" si="49"/>
        <v>△</v>
      </c>
      <c r="L38" s="184">
        <f>IF(AH33="","",AH33)</f>
        <v>3</v>
      </c>
      <c r="M38" s="174" t="s">
        <v>343</v>
      </c>
      <c r="N38" s="184">
        <f>IF(AF33="","",AF33)</f>
        <v>3</v>
      </c>
      <c r="O38" s="152" t="str">
        <f t="shared" si="50"/>
        <v>●</v>
      </c>
      <c r="P38" s="184">
        <f>IF(AH34="","",AH34)</f>
        <v>1</v>
      </c>
      <c r="Q38" s="174" t="s">
        <v>343</v>
      </c>
      <c r="R38" s="185">
        <f>IF(AF34="","",AF34)</f>
        <v>2</v>
      </c>
      <c r="S38" s="152" t="str">
        <f>IF(T38="","",(IF(T38-V38&gt;0,"○",IF(T38-V38&lt;0,"●","△"))))</f>
        <v>△</v>
      </c>
      <c r="T38" s="184">
        <f>IF(AH35="","",AH35)</f>
        <v>2</v>
      </c>
      <c r="U38" s="174" t="s">
        <v>343</v>
      </c>
      <c r="V38" s="185">
        <f>IF(AF35="","",AF35)</f>
        <v>2</v>
      </c>
      <c r="W38" s="152" t="str">
        <f>IF(X38="","",(IF(X38-Z38&gt;0,"○",IF(X38-Z38&lt;0,"●","△"))))</f>
        <v>○</v>
      </c>
      <c r="X38" s="184">
        <f>IF(AH36="","",AH36)</f>
        <v>6</v>
      </c>
      <c r="Y38" s="174" t="s">
        <v>343</v>
      </c>
      <c r="Z38" s="185">
        <f>IF(AF36="","",AF36)</f>
        <v>0</v>
      </c>
      <c r="AA38" s="152" t="str">
        <f>IF(AB38="","",(IF(AB38-AD38&gt;0,"○",IF(AB38-AD38&lt;0,"●","△"))))</f>
        <v>○</v>
      </c>
      <c r="AB38" s="184">
        <f>IF(AH37="","",AH37)</f>
        <v>3</v>
      </c>
      <c r="AC38" s="174" t="s">
        <v>343</v>
      </c>
      <c r="AD38" s="185">
        <f>IF(AF37="","",AF37)</f>
        <v>1</v>
      </c>
      <c r="AE38" s="973"/>
      <c r="AF38" s="971"/>
      <c r="AG38" s="971"/>
      <c r="AH38" s="972"/>
      <c r="AI38" s="183" t="str">
        <f t="shared" si="37"/>
        <v/>
      </c>
      <c r="AJ38" s="188" t="str">
        <f>IF('Cブロック対戦表 '!V368="","",'Cブロック対戦表 '!V368)</f>
        <v/>
      </c>
      <c r="AK38" s="171" t="s">
        <v>339</v>
      </c>
      <c r="AL38" s="175" t="str">
        <f>IF('Cブロック対戦表 '!Q368="","",'Cブロック対戦表 '!Q368)</f>
        <v/>
      </c>
      <c r="AM38" s="211"/>
      <c r="AN38" s="188"/>
      <c r="AO38" s="171" t="s">
        <v>339</v>
      </c>
      <c r="AP38" s="187"/>
      <c r="AQ38" s="159">
        <f t="shared" si="38"/>
        <v>6</v>
      </c>
      <c r="AR38" s="160">
        <f t="shared" si="39"/>
        <v>8</v>
      </c>
      <c r="AS38" s="160">
        <f t="shared" si="40"/>
        <v>2</v>
      </c>
      <c r="AT38" s="160">
        <f t="shared" si="46"/>
        <v>2</v>
      </c>
      <c r="AU38" s="161">
        <f t="shared" si="41"/>
        <v>2</v>
      </c>
      <c r="AV38" s="162">
        <f t="shared" si="42"/>
        <v>5</v>
      </c>
      <c r="AW38" s="163">
        <f t="shared" si="43"/>
        <v>15</v>
      </c>
      <c r="AX38" s="164">
        <f t="shared" si="47"/>
        <v>4</v>
      </c>
      <c r="AY38" s="154">
        <f t="shared" si="44"/>
        <v>80515</v>
      </c>
      <c r="AZ38" s="164">
        <f t="shared" si="30"/>
        <v>13</v>
      </c>
    </row>
    <row r="39" spans="1:52" ht="25.5" customHeight="1" thickBot="1" x14ac:dyDescent="0.45">
      <c r="A39" s="167">
        <v>9</v>
      </c>
      <c r="B39" s="248" t="str">
        <f>VLOOKUP(A39,U12組合せ!B$10:K$20,7,TRUE)</f>
        <v>みはらSC jr</v>
      </c>
      <c r="C39" s="211" t="str">
        <f t="shared" si="45"/>
        <v>●</v>
      </c>
      <c r="D39" s="224">
        <f>IF(AL31="","",AL31)</f>
        <v>1</v>
      </c>
      <c r="E39" s="225" t="s">
        <v>343</v>
      </c>
      <c r="F39" s="226">
        <f>IF(AJ31="","",AJ31)</f>
        <v>3</v>
      </c>
      <c r="G39" s="183" t="str">
        <f t="shared" si="48"/>
        <v>○</v>
      </c>
      <c r="H39" s="224">
        <f>IF(AL32="","",AL32)</f>
        <v>4</v>
      </c>
      <c r="I39" s="225" t="s">
        <v>343</v>
      </c>
      <c r="J39" s="226">
        <f>IF(AJ32="","",AJ32)</f>
        <v>0</v>
      </c>
      <c r="K39" s="183" t="str">
        <f t="shared" si="49"/>
        <v/>
      </c>
      <c r="L39" s="184" t="str">
        <f>IF(AL33="","",AL33)</f>
        <v/>
      </c>
      <c r="M39" s="174" t="s">
        <v>343</v>
      </c>
      <c r="N39" s="184" t="str">
        <f>IF(AJ33="","",AJ33)</f>
        <v/>
      </c>
      <c r="O39" s="183" t="str">
        <f t="shared" si="50"/>
        <v>●</v>
      </c>
      <c r="P39" s="184">
        <f>IF(AL34="","",AL34)</f>
        <v>1</v>
      </c>
      <c r="Q39" s="174" t="s">
        <v>343</v>
      </c>
      <c r="R39" s="185">
        <f>IF(AJ34="","",AJ34)</f>
        <v>3</v>
      </c>
      <c r="S39" s="183" t="str">
        <f>IF(T39="","",(IF(T39-V39&gt;0,"○",IF(T39-V39&lt;0,"●","△"))))</f>
        <v>●</v>
      </c>
      <c r="T39" s="184">
        <f>IF(AL35="","",AL35)</f>
        <v>1</v>
      </c>
      <c r="U39" s="174" t="s">
        <v>343</v>
      </c>
      <c r="V39" s="185">
        <f>IF(AJ35="","",AJ35)</f>
        <v>3</v>
      </c>
      <c r="W39" s="183" t="str">
        <f>IF(X39="","",(IF(X39-Z39&gt;0,"○",IF(X39-Z39&lt;0,"●","△"))))</f>
        <v>○</v>
      </c>
      <c r="X39" s="184">
        <f>IF(AL36="","",AL36)</f>
        <v>6</v>
      </c>
      <c r="Y39" s="174" t="s">
        <v>343</v>
      </c>
      <c r="Z39" s="185">
        <f>IF(AJ36="","",AJ36)</f>
        <v>1</v>
      </c>
      <c r="AA39" s="183" t="str">
        <f>IF(AB39="","",(IF(AB39-AD39&gt;0,"○",IF(AB39-AD39&lt;0,"●","△"))))</f>
        <v>△</v>
      </c>
      <c r="AB39" s="184">
        <f>IF(AL37="","",AL37)</f>
        <v>0</v>
      </c>
      <c r="AC39" s="174" t="s">
        <v>343</v>
      </c>
      <c r="AD39" s="185">
        <f>IF(AJ37="","",AJ37)</f>
        <v>0</v>
      </c>
      <c r="AE39" s="183" t="str">
        <f>IF(AF39="","",(IF(AF39-AH39&gt;0,"○",IF(AF39-AH39&lt;0,"●","△"))))</f>
        <v/>
      </c>
      <c r="AF39" s="184" t="str">
        <f>IF(AL38="","",AL38)</f>
        <v/>
      </c>
      <c r="AG39" s="174" t="s">
        <v>343</v>
      </c>
      <c r="AH39" s="185" t="str">
        <f>IF(AJ38="","",AJ38)</f>
        <v/>
      </c>
      <c r="AI39" s="973"/>
      <c r="AJ39" s="971"/>
      <c r="AK39" s="971"/>
      <c r="AL39" s="972"/>
      <c r="AM39" s="211"/>
      <c r="AN39" s="188"/>
      <c r="AO39" s="171" t="s">
        <v>339</v>
      </c>
      <c r="AP39" s="187"/>
      <c r="AQ39" s="190">
        <f t="shared" si="38"/>
        <v>6</v>
      </c>
      <c r="AR39" s="191">
        <f t="shared" si="39"/>
        <v>7</v>
      </c>
      <c r="AS39" s="191">
        <f t="shared" si="40"/>
        <v>2</v>
      </c>
      <c r="AT39" s="191">
        <f t="shared" si="46"/>
        <v>3</v>
      </c>
      <c r="AU39" s="192">
        <f t="shared" si="41"/>
        <v>1</v>
      </c>
      <c r="AV39" s="193">
        <f t="shared" si="42"/>
        <v>3</v>
      </c>
      <c r="AW39" s="194">
        <f t="shared" si="43"/>
        <v>13</v>
      </c>
      <c r="AX39" s="195">
        <f t="shared" si="47"/>
        <v>6</v>
      </c>
      <c r="AY39" s="154">
        <f t="shared" si="44"/>
        <v>70313</v>
      </c>
      <c r="AZ39" s="262">
        <f t="shared" si="30"/>
        <v>15</v>
      </c>
    </row>
    <row r="40" spans="1:52" ht="21" customHeight="1" thickBot="1" x14ac:dyDescent="0.45">
      <c r="A40" s="261">
        <v>10</v>
      </c>
      <c r="B40" s="249">
        <f>VLOOKUP(A40,U12組合せ!B$10:K$20,7,TRUE)</f>
        <v>0</v>
      </c>
      <c r="C40" s="246" t="str">
        <f>IF(D40="","",(IF(D40-F40&gt;0,"○",IF(D40-F40&lt;0,"●","△"))))</f>
        <v/>
      </c>
      <c r="D40" s="219" t="str">
        <f>IF(AP31="","",AP31)</f>
        <v/>
      </c>
      <c r="E40" s="220" t="s">
        <v>343</v>
      </c>
      <c r="F40" s="221" t="str">
        <f>IF(AN31="","",AN31)</f>
        <v/>
      </c>
      <c r="G40" s="189" t="str">
        <f>IF(H40="","",(IF(H40-J40&gt;0,"○",IF(H40-J40&lt;0,"●","△"))))</f>
        <v/>
      </c>
      <c r="H40" s="219" t="str">
        <f>IF(AP32="","",AP32)</f>
        <v/>
      </c>
      <c r="I40" s="220" t="s">
        <v>343</v>
      </c>
      <c r="J40" s="221" t="str">
        <f>IF(AN32="","",AN32)</f>
        <v/>
      </c>
      <c r="K40" s="189" t="str">
        <f>IF(L40="","",(IF(L40-N40&gt;0,"○",IF(L40-N40&lt;0,"●","△"))))</f>
        <v/>
      </c>
      <c r="L40" s="219" t="str">
        <f>IF(AP33="","",AP33)</f>
        <v/>
      </c>
      <c r="M40" s="220" t="s">
        <v>343</v>
      </c>
      <c r="N40" s="219" t="str">
        <f>IF(AN33="","",AN33)</f>
        <v/>
      </c>
      <c r="O40" s="189" t="str">
        <f t="shared" si="50"/>
        <v/>
      </c>
      <c r="P40" s="219" t="str">
        <f>IF(AP34="","",AP34)</f>
        <v/>
      </c>
      <c r="Q40" s="220" t="s">
        <v>343</v>
      </c>
      <c r="R40" s="221" t="str">
        <f>IF(AN34="","",AN34)</f>
        <v/>
      </c>
      <c r="S40" s="189" t="str">
        <f>IF(T40="","",(IF(T40-V40&gt;0,"○",IF(T40-V40&lt;0,"●","△"))))</f>
        <v/>
      </c>
      <c r="T40" s="219" t="str">
        <f>IF(AP35="","",AP35)</f>
        <v/>
      </c>
      <c r="U40" s="220" t="s">
        <v>343</v>
      </c>
      <c r="V40" s="221" t="str">
        <f>IF(AN35="","",AN35)</f>
        <v/>
      </c>
      <c r="W40" s="189" t="str">
        <f>IF(X40="","",(IF(X40-Z40&gt;0,"○",IF(X40-Z40&lt;0,"●","△"))))</f>
        <v/>
      </c>
      <c r="X40" s="219" t="str">
        <f>IF(AP36="","",AP36)</f>
        <v/>
      </c>
      <c r="Y40" s="220" t="s">
        <v>343</v>
      </c>
      <c r="Z40" s="221" t="str">
        <f>IF(AN36="","",AN36)</f>
        <v/>
      </c>
      <c r="AA40" s="189" t="str">
        <f>IF(AB40="","",(IF(AB40-AD40&gt;0,"○",IF(AB40-AD40&lt;0,"●","△"))))</f>
        <v/>
      </c>
      <c r="AB40" s="219" t="str">
        <f>IF(AP37="","",AP37)</f>
        <v/>
      </c>
      <c r="AC40" s="220" t="s">
        <v>343</v>
      </c>
      <c r="AD40" s="221" t="str">
        <f>IF(AN37="","",AN37)</f>
        <v/>
      </c>
      <c r="AE40" s="189" t="str">
        <f>IF(AF40="","",(IF(AF40-AH40&gt;0,"○",IF(AF40-AH40&lt;0,"●","△"))))</f>
        <v/>
      </c>
      <c r="AF40" s="219" t="str">
        <f>IF(AP38="","",AP38)</f>
        <v/>
      </c>
      <c r="AG40" s="220" t="s">
        <v>343</v>
      </c>
      <c r="AH40" s="221" t="str">
        <f>IF(AN38="","",AN38)</f>
        <v/>
      </c>
      <c r="AI40" s="189" t="str">
        <f>IF(AJ40="","",(IF(AJ40-AL40&gt;0,"○",IF(AJ40-AL40&lt;0,"●","△"))))</f>
        <v/>
      </c>
      <c r="AJ40" s="219" t="str">
        <f>IF(AP39="","",AP39)</f>
        <v/>
      </c>
      <c r="AK40" s="220" t="s">
        <v>343</v>
      </c>
      <c r="AL40" s="221" t="str">
        <f>IF(AN39="","",AN39)</f>
        <v/>
      </c>
      <c r="AM40" s="986"/>
      <c r="AN40" s="986"/>
      <c r="AO40" s="986"/>
      <c r="AP40" s="987"/>
      <c r="AQ40" s="255"/>
      <c r="AR40" s="256"/>
      <c r="AS40" s="256"/>
      <c r="AT40" s="256"/>
      <c r="AU40" s="257"/>
      <c r="AV40" s="258"/>
      <c r="AW40" s="259"/>
      <c r="AX40" s="260"/>
      <c r="AY40" s="264"/>
      <c r="AZ40" s="267"/>
    </row>
    <row r="42" spans="1:52" ht="12.75" customHeight="1" x14ac:dyDescent="0.4"/>
    <row r="43" spans="1:52" ht="27.75" customHeight="1" x14ac:dyDescent="0.4">
      <c r="C43" s="204"/>
      <c r="E43" s="205" t="s">
        <v>348</v>
      </c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</row>
    <row r="44" spans="1:52" ht="15" customHeight="1" thickBot="1" x14ac:dyDescent="0.45">
      <c r="B44" s="206"/>
      <c r="C44" s="204"/>
      <c r="G44" s="204"/>
    </row>
    <row r="45" spans="1:52" s="149" customFormat="1" ht="20.25" customHeight="1" thickBot="1" x14ac:dyDescent="0.45">
      <c r="A45" s="142"/>
      <c r="B45" s="143" t="s">
        <v>376</v>
      </c>
      <c r="C45" s="969" t="str">
        <f>B46</f>
        <v>FCブロケード</v>
      </c>
      <c r="D45" s="969"/>
      <c r="E45" s="969"/>
      <c r="F45" s="970"/>
      <c r="G45" s="968" t="str">
        <f>B47</f>
        <v>FCみらいV</v>
      </c>
      <c r="H45" s="969"/>
      <c r="I45" s="969"/>
      <c r="J45" s="970"/>
      <c r="K45" s="968" t="str">
        <f>B48</f>
        <v>宇大付属小SSS U11</v>
      </c>
      <c r="L45" s="969"/>
      <c r="M45" s="969"/>
      <c r="N45" s="970"/>
      <c r="O45" s="968" t="str">
        <f>B49</f>
        <v>清原フューチャーズ</v>
      </c>
      <c r="P45" s="969"/>
      <c r="Q45" s="969"/>
      <c r="R45" s="970"/>
      <c r="S45" s="974" t="str">
        <f>B50</f>
        <v>ウエストフットコムU11</v>
      </c>
      <c r="T45" s="975"/>
      <c r="U45" s="975"/>
      <c r="V45" s="976"/>
      <c r="W45" s="968" t="str">
        <f>B51</f>
        <v>SUGAOプロミネンス</v>
      </c>
      <c r="X45" s="969"/>
      <c r="Y45" s="969"/>
      <c r="Z45" s="975"/>
      <c r="AA45" s="977" t="str">
        <f>B52</f>
        <v>宝木キッカーズ</v>
      </c>
      <c r="AB45" s="977"/>
      <c r="AC45" s="977"/>
      <c r="AD45" s="976"/>
      <c r="AE45" s="968" t="str">
        <f>B53</f>
        <v>陽東SSS</v>
      </c>
      <c r="AF45" s="969"/>
      <c r="AG45" s="969"/>
      <c r="AH45" s="970"/>
      <c r="AI45" s="968" t="str">
        <f>B54</f>
        <v>ジュベニール</v>
      </c>
      <c r="AJ45" s="969"/>
      <c r="AK45" s="969"/>
      <c r="AL45" s="970"/>
      <c r="AM45" s="969">
        <f>B55</f>
        <v>0</v>
      </c>
      <c r="AN45" s="969"/>
      <c r="AO45" s="969"/>
      <c r="AP45" s="984"/>
      <c r="AQ45" s="144" t="s">
        <v>14</v>
      </c>
      <c r="AR45" s="145" t="s">
        <v>340</v>
      </c>
      <c r="AS45" s="145" t="s">
        <v>335</v>
      </c>
      <c r="AT45" s="145" t="s">
        <v>336</v>
      </c>
      <c r="AU45" s="146" t="s">
        <v>337</v>
      </c>
      <c r="AV45" s="232" t="s">
        <v>338</v>
      </c>
      <c r="AW45" s="147" t="s">
        <v>341</v>
      </c>
      <c r="AX45" s="148" t="s">
        <v>342</v>
      </c>
      <c r="AY45" s="263"/>
      <c r="AZ45" s="266" t="s">
        <v>377</v>
      </c>
    </row>
    <row r="46" spans="1:52" ht="25.5" customHeight="1" thickTop="1" x14ac:dyDescent="0.4">
      <c r="A46" s="150">
        <v>1</v>
      </c>
      <c r="B46" s="151" t="str">
        <f>VLOOKUP(A46,U12組合せ!B$10:K$20,9,TRUE)</f>
        <v>FCブロケード</v>
      </c>
      <c r="C46" s="979"/>
      <c r="D46" s="979"/>
      <c r="E46" s="979"/>
      <c r="F46" s="980"/>
      <c r="G46" s="152" t="str">
        <f>IF(H46="","",(IF(H46-J46&gt;0,"○",IF(H46-J46&lt;0,"●","△"))))</f>
        <v>●</v>
      </c>
      <c r="H46" s="234">
        <f>IF('Dブロック対戦表 '!$Q13="","",'Dブロック対戦表 '!$Q13)</f>
        <v>0</v>
      </c>
      <c r="I46" s="153" t="s">
        <v>343</v>
      </c>
      <c r="J46" s="154">
        <f>IF('Dブロック対戦表 '!$V13="","",'Dブロック対戦表 '!$V13)</f>
        <v>6</v>
      </c>
      <c r="K46" s="155" t="str">
        <f>IF(L46="","",(IF(L46-N46&gt;0,"○",IF(L46-N46&lt;0,"●","△"))))</f>
        <v>●</v>
      </c>
      <c r="L46" s="235">
        <f>IF('Dブロック対戦表 '!$V17="","",'Dブロック対戦表 '!$V17)</f>
        <v>0</v>
      </c>
      <c r="M46" s="153" t="s">
        <v>343</v>
      </c>
      <c r="N46" s="158">
        <f>IF('Dブロック対戦表 '!$Q17="","",'Dブロック対戦表 '!$Q17)</f>
        <v>2</v>
      </c>
      <c r="O46" s="155" t="str">
        <f>IF(P46="","",(IF(P46-R46&gt;0,"○",IF(P46-R46&lt;0,"●","△"))))</f>
        <v>●</v>
      </c>
      <c r="P46" s="235">
        <f>IF('Dブロック対戦表 '!$Q108="","",'Dブロック対戦表 '!$Q108)</f>
        <v>0</v>
      </c>
      <c r="Q46" s="153" t="s">
        <v>343</v>
      </c>
      <c r="R46" s="158">
        <f>IF('Dブロック対戦表 '!$V108="","",'Dブロック対戦表 '!$V108)</f>
        <v>2</v>
      </c>
      <c r="S46" s="155" t="str">
        <f>IF(T46="","",(IF(T46-V46&gt;0,"○",IF(T46-V46&lt;0,"●","△"))))</f>
        <v>○</v>
      </c>
      <c r="T46" s="235">
        <f>IF('Dブロック対戦表 '!$Q204="","",'Dブロック対戦表 '!$Q204)</f>
        <v>1</v>
      </c>
      <c r="U46" s="153" t="s">
        <v>343</v>
      </c>
      <c r="V46" s="158">
        <f>IF('Dブロック対戦表 '!$V204="","",'Dブロック対戦表 '!$V204)</f>
        <v>0</v>
      </c>
      <c r="W46" s="155" t="str">
        <f>IF(X46="","",(IF(X46-Z46&gt;0,"○",IF(X46-Z46&lt;0,"●","△"))))</f>
        <v/>
      </c>
      <c r="X46" s="235" t="str">
        <f>IF('Dブロック対戦表 '!$Q300="","",'Dブロック対戦表 '!$Q300)</f>
        <v/>
      </c>
      <c r="Y46" s="153" t="s">
        <v>343</v>
      </c>
      <c r="Z46" s="158" t="str">
        <f>IF('Dブロック対戦表 '!$V300="","",'Dブロック対戦表 '!$V300)</f>
        <v/>
      </c>
      <c r="AA46" s="155" t="str">
        <f t="shared" ref="AA46:AA51" si="51">IF(AB46="","",(IF(AB46-AD46&gt;0,"○",IF(AB46-AD46&lt;0,"●","△"))))</f>
        <v>●</v>
      </c>
      <c r="AB46" s="235">
        <f>IF('Dブロック対戦表 '!$V112="","",'Dブロック対戦表 '!$V112)</f>
        <v>0</v>
      </c>
      <c r="AC46" s="153" t="s">
        <v>343</v>
      </c>
      <c r="AD46" s="158">
        <f>IF('Dブロック対戦表 '!$Q112="","",'Dブロック対戦表 '!$Q112)</f>
        <v>7</v>
      </c>
      <c r="AE46" s="155" t="str">
        <f t="shared" ref="AE46:AE52" si="52">IF(AF46="","",(IF(AF46-AH46&gt;0,"○",IF(AF46-AH46&lt;0,"●","△"))))</f>
        <v/>
      </c>
      <c r="AF46" s="235" t="str">
        <f>IF('Dブロック対戦表 '!$V304="","",'Dブロック対戦表 '!$V304)</f>
        <v/>
      </c>
      <c r="AG46" s="153" t="s">
        <v>343</v>
      </c>
      <c r="AH46" s="158" t="str">
        <f>IF('Dブロック対戦表 '!$Q304="","",'Dブロック対戦表 '!$Q304)</f>
        <v/>
      </c>
      <c r="AI46" s="155" t="str">
        <f t="shared" ref="AI46:AI53" si="53">IF(AJ46="","",(IF(AJ46-AL46&gt;0,"○",IF(AJ46-AL46&lt;0,"●","△"))))</f>
        <v>●</v>
      </c>
      <c r="AJ46" s="235">
        <f>IF('Dブロック対戦表 '!$V208="","",'Dブロック対戦表 '!$V208)</f>
        <v>1</v>
      </c>
      <c r="AK46" s="153" t="s">
        <v>343</v>
      </c>
      <c r="AL46" s="377">
        <f>IF('Dブロック対戦表 '!$Q208="","",'Dブロック対戦表 '!$Q208)</f>
        <v>3</v>
      </c>
      <c r="AM46" s="236" t="str">
        <f>IF(AN46="","",(IF(AN46-AP46&gt;0,"○",IF(AN46-AP46&lt;0,"●","△"))))</f>
        <v/>
      </c>
      <c r="AN46" s="158"/>
      <c r="AO46" s="153" t="s">
        <v>339</v>
      </c>
      <c r="AP46" s="237"/>
      <c r="AQ46" s="159">
        <f t="shared" ref="AQ46:AQ54" si="54">SUM(AS46:AU46)</f>
        <v>6</v>
      </c>
      <c r="AR46" s="160">
        <f t="shared" ref="AR46:AR54" si="55">AS46*3+AU46</f>
        <v>3</v>
      </c>
      <c r="AS46" s="160">
        <f t="shared" ref="AS46:AS54" si="56">COUNTIF(C46:AM46,"○")</f>
        <v>1</v>
      </c>
      <c r="AT46" s="160">
        <f t="shared" ref="AT46:AT54" si="57">COUNTIF(C46:AM46,"●")</f>
        <v>5</v>
      </c>
      <c r="AU46" s="161">
        <f t="shared" ref="AU46:AU54" si="58">COUNTIF(C46:AM46,"△")</f>
        <v>0</v>
      </c>
      <c r="AV46" s="162">
        <f t="shared" ref="AV46:AV54" si="59">AW46-SUM(F46,J46,N46,R46,V46,Z46,AD46,AH46,AL46,AP46)</f>
        <v>-18</v>
      </c>
      <c r="AW46" s="163">
        <f t="shared" ref="AW46:AW54" si="60">SUM(D46,H46,L46,P46,T46,X46,AB46,AF46,AJ46,AN46)</f>
        <v>2</v>
      </c>
      <c r="AX46" s="164">
        <f>RANK(AY46,AY$46:AY$54)</f>
        <v>8</v>
      </c>
      <c r="AY46" s="154">
        <f t="shared" ref="AY46:AY54" si="61">AR46*10000+AV46*100+AW46</f>
        <v>28202</v>
      </c>
      <c r="AZ46" s="265">
        <f t="shared" si="30"/>
        <v>24</v>
      </c>
    </row>
    <row r="47" spans="1:52" ht="25.5" customHeight="1" x14ac:dyDescent="0.4">
      <c r="A47" s="167">
        <v>2</v>
      </c>
      <c r="B47" s="151" t="str">
        <f>VLOOKUP(A47,U12組合せ!B$10:K$20,9,TRUE)</f>
        <v>FCみらいV</v>
      </c>
      <c r="C47" s="152" t="str">
        <f t="shared" ref="C47:C54" si="62">IF(D47="","",(IF(D47-F47&gt;0,"○",IF(D47-F47&lt;0,"●","△"))))</f>
        <v>○</v>
      </c>
      <c r="D47" s="168">
        <f>IF(J46="","",J46)</f>
        <v>6</v>
      </c>
      <c r="E47" s="169" t="s">
        <v>343</v>
      </c>
      <c r="F47" s="170">
        <f>IF(H46="","",H46)</f>
        <v>0</v>
      </c>
      <c r="G47" s="981"/>
      <c r="H47" s="982"/>
      <c r="I47" s="982"/>
      <c r="J47" s="983"/>
      <c r="K47" s="152" t="str">
        <f>IF(L47="","",(IF(L47-N47&gt;0,"○",IF(L47-N47&lt;0,"●","△"))))</f>
        <v>○</v>
      </c>
      <c r="L47" s="234">
        <f>IF('Dブロック対戦表 '!$V15="","",'Dブロック対戦表 '!$V15)</f>
        <v>3</v>
      </c>
      <c r="M47" s="171" t="s">
        <v>339</v>
      </c>
      <c r="N47" s="154">
        <f>IF('Dブロック対戦表 '!$Q15="","",'Dブロック対戦表 '!$Q15)</f>
        <v>1</v>
      </c>
      <c r="O47" s="183" t="str">
        <f>IF(P47="","",(IF(P47-R47&gt;0,"○",IF(P47-R47&lt;0,"●","△"))))</f>
        <v/>
      </c>
      <c r="P47" s="238" t="str">
        <f>IF('Dブロック対戦表 '!$Q332="","",'Dブロック対戦表 '!$Q332)</f>
        <v/>
      </c>
      <c r="Q47" s="171" t="s">
        <v>339</v>
      </c>
      <c r="R47" s="172" t="str">
        <f>IF('Dブロック対戦表 '!$V332="","",'Dブロック対戦表 '!$V332)</f>
        <v/>
      </c>
      <c r="S47" s="183" t="str">
        <f>IF(T47="","",(IF(T47-V47&gt;0,"○",IF(T47-V47&lt;0,"●","△"))))</f>
        <v>○</v>
      </c>
      <c r="T47" s="188">
        <f>IF('Dブロック対戦表 '!$Q140="","",'Dブロック対戦表 '!$Q140)</f>
        <v>2</v>
      </c>
      <c r="U47" s="171" t="s">
        <v>339</v>
      </c>
      <c r="V47" s="210">
        <f>IF('Dブロック対戦表 '!$V140="","",'Dブロック対戦表 '!$V140)</f>
        <v>0</v>
      </c>
      <c r="W47" s="152" t="str">
        <f>IF(X47="","",(IF(X47-Z47&gt;0,"○",IF(X47-Z47&lt;0,"●","△"))))</f>
        <v>○</v>
      </c>
      <c r="X47" s="172">
        <f>IF('Dブロック対戦表 '!$Q236="","",'Dブロック対戦表 '!$Q236)</f>
        <v>3</v>
      </c>
      <c r="Y47" s="171" t="s">
        <v>339</v>
      </c>
      <c r="Z47" s="172">
        <f>IF('Dブロック対戦表 '!$V236="","",'Dブロック対戦表 '!$V236)</f>
        <v>0</v>
      </c>
      <c r="AA47" s="152" t="str">
        <f t="shared" si="51"/>
        <v>○</v>
      </c>
      <c r="AB47" s="172">
        <f>IF('Dブロック対戦表 '!$V240="","",'Dブロック対戦表 '!$V240)</f>
        <v>5</v>
      </c>
      <c r="AC47" s="171" t="s">
        <v>339</v>
      </c>
      <c r="AD47" s="172">
        <f>IF('Dブロック対戦表 '!$Q240="","",'Dブロック対戦表 '!$Q240)</f>
        <v>3</v>
      </c>
      <c r="AE47" s="239" t="str">
        <f t="shared" si="52"/>
        <v>●</v>
      </c>
      <c r="AF47" s="254">
        <f>IF('Dブロック対戦表 '!$V144="","",'Dブロック対戦表 '!$V144)</f>
        <v>0</v>
      </c>
      <c r="AG47" s="198" t="s">
        <v>339</v>
      </c>
      <c r="AH47" s="212">
        <f>IF('Dブロック対戦表 '!$Q144="","",'Dブロック対戦表 '!$Q144)</f>
        <v>1</v>
      </c>
      <c r="AI47" s="152" t="str">
        <f t="shared" si="53"/>
        <v/>
      </c>
      <c r="AJ47" s="172" t="str">
        <f>IF('Dブロック対戦表 '!$V336="","",'Dブロック対戦表 '!$V336)</f>
        <v/>
      </c>
      <c r="AK47" s="171" t="s">
        <v>339</v>
      </c>
      <c r="AL47" s="210" t="str">
        <f>IF('Dブロック対戦表 '!$Q336="","",'Dブロック対戦表 '!$Q336)</f>
        <v/>
      </c>
      <c r="AM47" s="209"/>
      <c r="AN47" s="172"/>
      <c r="AO47" s="171" t="s">
        <v>339</v>
      </c>
      <c r="AP47" s="178"/>
      <c r="AQ47" s="159">
        <f t="shared" si="54"/>
        <v>6</v>
      </c>
      <c r="AR47" s="160">
        <f t="shared" si="55"/>
        <v>15</v>
      </c>
      <c r="AS47" s="160">
        <f t="shared" si="56"/>
        <v>5</v>
      </c>
      <c r="AT47" s="160">
        <f t="shared" si="57"/>
        <v>1</v>
      </c>
      <c r="AU47" s="161">
        <f t="shared" si="58"/>
        <v>0</v>
      </c>
      <c r="AV47" s="162">
        <f t="shared" si="59"/>
        <v>14</v>
      </c>
      <c r="AW47" s="163">
        <f t="shared" si="60"/>
        <v>19</v>
      </c>
      <c r="AX47" s="164">
        <f t="shared" ref="AX47:AX54" si="63">RANK(AY47,AY$46:AY$54)</f>
        <v>1</v>
      </c>
      <c r="AY47" s="154">
        <f t="shared" si="61"/>
        <v>151419</v>
      </c>
      <c r="AZ47" s="164">
        <f t="shared" si="30"/>
        <v>4</v>
      </c>
    </row>
    <row r="48" spans="1:52" ht="25.5" customHeight="1" x14ac:dyDescent="0.4">
      <c r="A48" s="167">
        <v>3</v>
      </c>
      <c r="B48" s="151" t="str">
        <f>VLOOKUP(A48,U12組合せ!B$10:K$20,9,TRUE)</f>
        <v>宇大付属小SSS U11</v>
      </c>
      <c r="C48" s="152" t="str">
        <f t="shared" si="62"/>
        <v>○</v>
      </c>
      <c r="D48" s="179">
        <f>IF(N46="","",N46)</f>
        <v>2</v>
      </c>
      <c r="E48" s="180" t="s">
        <v>343</v>
      </c>
      <c r="F48" s="181">
        <f>IF(L46="","",L46)</f>
        <v>0</v>
      </c>
      <c r="G48" s="152" t="str">
        <f t="shared" ref="G48:G54" si="64">IF(H48="","",(IF(H48-J48&gt;0,"○",IF(H48-J48&lt;0,"●","△"))))</f>
        <v>●</v>
      </c>
      <c r="H48" s="168">
        <f>IF(N47="","",N47)</f>
        <v>1</v>
      </c>
      <c r="I48" s="169" t="s">
        <v>343</v>
      </c>
      <c r="J48" s="170">
        <f>IF(L47="","",L47)</f>
        <v>3</v>
      </c>
      <c r="K48" s="973"/>
      <c r="L48" s="971"/>
      <c r="M48" s="971"/>
      <c r="N48" s="971"/>
      <c r="O48" s="152" t="str">
        <f>IF(P48="","",(IF(P48-R48&gt;0,"○",IF(P48-R48&lt;0,"●","△"))))</f>
        <v>●</v>
      </c>
      <c r="P48" s="234">
        <f>IF('Dブロック対戦表 '!$Q268="","",'Dブロック対戦表 '!$Q268)</f>
        <v>0</v>
      </c>
      <c r="Q48" s="171" t="s">
        <v>339</v>
      </c>
      <c r="R48" s="234">
        <f>IF('Dブロック対戦表 '!$V268="","",'Dブロック対戦表 '!$V268)</f>
        <v>3</v>
      </c>
      <c r="S48" s="152" t="str">
        <f>IF(T48="","",(IF(T48-V48&gt;0,"○",IF(T48-V48&lt;0,"●","△"))))</f>
        <v/>
      </c>
      <c r="T48" s="172" t="str">
        <f>IF('Dブロック対戦表 '!$Q364="","",'Dブロック対戦表 '!$Q364)</f>
        <v/>
      </c>
      <c r="U48" s="171" t="s">
        <v>339</v>
      </c>
      <c r="V48" s="172" t="str">
        <f>IF('Dブロック対戦表 '!$V364="","",'Dブロック対戦表 '!$V364)</f>
        <v/>
      </c>
      <c r="W48" s="152" t="str">
        <f>IF(X48="","",(IF(X48-Z48&gt;0,"○",IF(X48-Z48&lt;0,"●","△"))))</f>
        <v>○</v>
      </c>
      <c r="X48" s="154">
        <f>IF('Dブロック対戦表 '!$Q172="","",'Dブロック対戦表 '!$Q172)</f>
        <v>3</v>
      </c>
      <c r="Y48" s="171" t="s">
        <v>339</v>
      </c>
      <c r="Z48" s="154">
        <f>IF('Dブロック対戦表 '!$V172="","",'Dブロック対戦表 '!$V172)</f>
        <v>0</v>
      </c>
      <c r="AA48" s="152" t="str">
        <f t="shared" si="51"/>
        <v/>
      </c>
      <c r="AB48" s="172" t="str">
        <f>IF('Dブロック対戦表 '!$V368="","",'Dブロック対戦表 '!$V368)</f>
        <v/>
      </c>
      <c r="AC48" s="171" t="s">
        <v>339</v>
      </c>
      <c r="AD48" s="172" t="str">
        <f>IF('Dブロック対戦表 '!$Q368="","",'Dブロック対戦表 '!$Q368)</f>
        <v/>
      </c>
      <c r="AE48" s="182" t="str">
        <f t="shared" si="52"/>
        <v>●</v>
      </c>
      <c r="AF48" s="176">
        <f>IF('Dブロック対戦表 '!$V272="","",'Dブロック対戦表 '!$V272)</f>
        <v>0</v>
      </c>
      <c r="AG48" s="174" t="s">
        <v>339</v>
      </c>
      <c r="AH48" s="175">
        <f>IF('Dブロック対戦表 '!$Q272="","",'Dブロック対戦表 '!$Q272)</f>
        <v>4</v>
      </c>
      <c r="AI48" s="183" t="str">
        <f t="shared" si="53"/>
        <v>●</v>
      </c>
      <c r="AJ48" s="172">
        <f>IF('Dブロック対戦表 '!$V176="","",'Dブロック対戦表 '!$V176)</f>
        <v>2</v>
      </c>
      <c r="AK48" s="171" t="s">
        <v>339</v>
      </c>
      <c r="AL48" s="210">
        <f>IF('Dブロック対戦表 '!$Q176="","",'Dブロック対戦表 '!$Q176)</f>
        <v>3</v>
      </c>
      <c r="AM48" s="211"/>
      <c r="AN48" s="172"/>
      <c r="AO48" s="171" t="s">
        <v>339</v>
      </c>
      <c r="AP48" s="178"/>
      <c r="AQ48" s="159">
        <f t="shared" si="54"/>
        <v>6</v>
      </c>
      <c r="AR48" s="160">
        <f t="shared" si="55"/>
        <v>6</v>
      </c>
      <c r="AS48" s="160">
        <f t="shared" si="56"/>
        <v>2</v>
      </c>
      <c r="AT48" s="160">
        <f t="shared" si="57"/>
        <v>4</v>
      </c>
      <c r="AU48" s="161">
        <f t="shared" si="58"/>
        <v>0</v>
      </c>
      <c r="AV48" s="162">
        <f t="shared" si="59"/>
        <v>-5</v>
      </c>
      <c r="AW48" s="163">
        <f t="shared" si="60"/>
        <v>8</v>
      </c>
      <c r="AX48" s="164">
        <f t="shared" si="63"/>
        <v>6</v>
      </c>
      <c r="AY48" s="154">
        <f t="shared" si="61"/>
        <v>59508</v>
      </c>
      <c r="AZ48" s="164">
        <f t="shared" si="30"/>
        <v>17</v>
      </c>
    </row>
    <row r="49" spans="1:52" s="204" customFormat="1" ht="25.5" customHeight="1" x14ac:dyDescent="0.4">
      <c r="A49" s="167">
        <v>4</v>
      </c>
      <c r="B49" s="151" t="str">
        <f>VLOOKUP(A49,U12組合せ!B$10:K$20,9,TRUE)</f>
        <v>清原フューチャーズ</v>
      </c>
      <c r="C49" s="152" t="str">
        <f t="shared" si="62"/>
        <v>○</v>
      </c>
      <c r="D49" s="179">
        <f>IF(R46="","",R46)</f>
        <v>2</v>
      </c>
      <c r="E49" s="180" t="s">
        <v>343</v>
      </c>
      <c r="F49" s="181">
        <f>IF(P46="","",P46)</f>
        <v>0</v>
      </c>
      <c r="G49" s="152" t="str">
        <f t="shared" si="64"/>
        <v/>
      </c>
      <c r="H49" s="179" t="str">
        <f>IF(R47="","",R47)</f>
        <v/>
      </c>
      <c r="I49" s="180" t="s">
        <v>343</v>
      </c>
      <c r="J49" s="181" t="str">
        <f>IF(P47="","",P47)</f>
        <v/>
      </c>
      <c r="K49" s="152" t="str">
        <f t="shared" ref="K49:K54" si="65">IF(L49="","",(IF(L49-N49&gt;0,"○",IF(L49-N49&lt;0,"●","△"))))</f>
        <v>○</v>
      </c>
      <c r="L49" s="184">
        <f>IF(R48="","",R48)</f>
        <v>3</v>
      </c>
      <c r="M49" s="174" t="s">
        <v>343</v>
      </c>
      <c r="N49" s="185">
        <f>IF(P48="","",P48)</f>
        <v>0</v>
      </c>
      <c r="O49" s="971"/>
      <c r="P49" s="971"/>
      <c r="Q49" s="971"/>
      <c r="R49" s="972"/>
      <c r="S49" s="152" t="str">
        <f>IF(T49="","",(IF(T49-V49&gt;0,"○",IF(T49-V49&lt;0,"●","△"))))</f>
        <v>○</v>
      </c>
      <c r="T49" s="242">
        <f>IF('Dブロック対戦表 '!$Q45="","",'Dブロック対戦表 '!$Q45)</f>
        <v>2</v>
      </c>
      <c r="U49" s="171" t="s">
        <v>339</v>
      </c>
      <c r="V49" s="242">
        <f>IF('Dブロック対戦表 '!$V45="","",'Dブロック対戦表 '!$V45)</f>
        <v>0</v>
      </c>
      <c r="W49" s="152" t="str">
        <f>IF(X49="","",(IF(X49-Z49&gt;0,"○",IF(X49-Z49&lt;0,"●","△"))))</f>
        <v>○</v>
      </c>
      <c r="X49" s="384">
        <f>IF('Dブロック対戦表 '!$V49="","",'Dブロック対戦表 '!$V49)</f>
        <v>10</v>
      </c>
      <c r="Y49" s="174" t="s">
        <v>339</v>
      </c>
      <c r="Z49" s="385">
        <f>IF('Dブロック対戦表 '!$Q49="","",'Dブロック対戦表 '!$Q49)</f>
        <v>0</v>
      </c>
      <c r="AA49" s="152" t="str">
        <f t="shared" si="51"/>
        <v>●</v>
      </c>
      <c r="AB49" s="384">
        <f>IF('Dブロック対戦表 '!$V110="","",'Dブロック対戦表 '!$V110)</f>
        <v>1</v>
      </c>
      <c r="AC49" s="174" t="s">
        <v>339</v>
      </c>
      <c r="AD49" s="385">
        <f>IF('Dブロック対戦表 '!$Q110="","",'Dブロック対戦表 '!$Q110)</f>
        <v>2</v>
      </c>
      <c r="AE49" s="152" t="str">
        <f t="shared" si="52"/>
        <v>△</v>
      </c>
      <c r="AF49" s="242">
        <f>IF('Dブロック対戦表 '!$V270="","",'Dブロック対戦表 '!$V270)</f>
        <v>1</v>
      </c>
      <c r="AG49" s="171" t="s">
        <v>339</v>
      </c>
      <c r="AH49" s="242">
        <f>IF('Dブロック対戦表 '!$Q270="","",'Dブロック対戦表 '!$Q270)</f>
        <v>1</v>
      </c>
      <c r="AI49" s="152" t="str">
        <f t="shared" si="53"/>
        <v/>
      </c>
      <c r="AJ49" s="386" t="str">
        <f>IF('Dブロック対戦表 '!$V334="","",'Dブロック対戦表 '!$V334)</f>
        <v/>
      </c>
      <c r="AK49" s="171" t="s">
        <v>339</v>
      </c>
      <c r="AL49" s="387" t="str">
        <f>IF('Dブロック対戦表 '!$Q334="","",'Dブロック対戦表 '!$Q334)</f>
        <v/>
      </c>
      <c r="AM49" s="209"/>
      <c r="AN49" s="386"/>
      <c r="AO49" s="171" t="s">
        <v>339</v>
      </c>
      <c r="AP49" s="388"/>
      <c r="AQ49" s="159">
        <f t="shared" si="54"/>
        <v>6</v>
      </c>
      <c r="AR49" s="160">
        <f t="shared" si="55"/>
        <v>13</v>
      </c>
      <c r="AS49" s="160">
        <f t="shared" si="56"/>
        <v>4</v>
      </c>
      <c r="AT49" s="160">
        <f t="shared" si="57"/>
        <v>1</v>
      </c>
      <c r="AU49" s="161">
        <f t="shared" si="58"/>
        <v>1</v>
      </c>
      <c r="AV49" s="162">
        <f t="shared" si="59"/>
        <v>16</v>
      </c>
      <c r="AW49" s="163">
        <f t="shared" si="60"/>
        <v>19</v>
      </c>
      <c r="AX49" s="164">
        <f t="shared" si="63"/>
        <v>2</v>
      </c>
      <c r="AY49" s="242">
        <f t="shared" si="61"/>
        <v>131619</v>
      </c>
      <c r="AZ49" s="164">
        <f t="shared" si="30"/>
        <v>5</v>
      </c>
    </row>
    <row r="50" spans="1:52" ht="25.5" customHeight="1" x14ac:dyDescent="0.4">
      <c r="A50" s="167">
        <v>5</v>
      </c>
      <c r="B50" s="151" t="str">
        <f>VLOOKUP(A50,U12組合せ!B$10:K$20,9,TRUE)</f>
        <v>ウエストフットコムU11</v>
      </c>
      <c r="C50" s="152" t="str">
        <f t="shared" si="62"/>
        <v>●</v>
      </c>
      <c r="D50" s="179">
        <f>IF(V46="","",V46)</f>
        <v>0</v>
      </c>
      <c r="E50" s="180" t="s">
        <v>343</v>
      </c>
      <c r="F50" s="181">
        <f>IF(T46="","",T46)</f>
        <v>1</v>
      </c>
      <c r="G50" s="152" t="str">
        <f t="shared" si="64"/>
        <v>●</v>
      </c>
      <c r="H50" s="179">
        <f>IF(V47="","",V47)</f>
        <v>0</v>
      </c>
      <c r="I50" s="180" t="s">
        <v>343</v>
      </c>
      <c r="J50" s="181">
        <f>IF(T47="","",T47)</f>
        <v>2</v>
      </c>
      <c r="K50" s="152" t="str">
        <f t="shared" si="65"/>
        <v/>
      </c>
      <c r="L50" s="184" t="str">
        <f>IF(V48="","",V48)</f>
        <v/>
      </c>
      <c r="M50" s="174" t="s">
        <v>343</v>
      </c>
      <c r="N50" s="184" t="str">
        <f>IF(T48="","",T48)</f>
        <v/>
      </c>
      <c r="O50" s="152" t="str">
        <f t="shared" ref="O50:O55" si="66">IF(P50="","",(IF(P50-R50&gt;0,"○",IF(P50-R50&lt;0,"●","△"))))</f>
        <v>●</v>
      </c>
      <c r="P50" s="184">
        <f>IF(V49="","",V49)</f>
        <v>0</v>
      </c>
      <c r="Q50" s="174" t="s">
        <v>343</v>
      </c>
      <c r="R50" s="185">
        <f>IF(T49="","",T49)</f>
        <v>2</v>
      </c>
      <c r="S50" s="973"/>
      <c r="T50" s="971"/>
      <c r="U50" s="971"/>
      <c r="V50" s="972"/>
      <c r="W50" s="152" t="str">
        <f>IF(X50="","",(IF(X50-Z50&gt;0,"○",IF(X50-Z50&lt;0,"●","△"))))</f>
        <v>○</v>
      </c>
      <c r="X50" s="173">
        <f>IF('Dブロック対戦表 '!$V47="","",'Dブロック対戦表 '!$V47)</f>
        <v>1</v>
      </c>
      <c r="Y50" s="174" t="s">
        <v>339</v>
      </c>
      <c r="Z50" s="175">
        <f>IF('Dブロック対戦表 '!$Q47="","",'Dブロック対戦表 '!$Q47)</f>
        <v>0</v>
      </c>
      <c r="AA50" s="152" t="str">
        <f t="shared" si="51"/>
        <v/>
      </c>
      <c r="AB50" s="172" t="str">
        <f>IF('Dブロック対戦表 '!$V366="","",'Dブロック対戦表 '!$V366)</f>
        <v/>
      </c>
      <c r="AC50" s="171" t="s">
        <v>339</v>
      </c>
      <c r="AD50" s="172" t="str">
        <f>IF('Dブロック対戦表 '!$Q366="","",'Dブロック対戦表 '!$Q366)</f>
        <v/>
      </c>
      <c r="AE50" s="152" t="str">
        <f t="shared" si="52"/>
        <v>△</v>
      </c>
      <c r="AF50" s="173">
        <f>IF('Dブロック対戦表 '!$V142="","",'Dブロック対戦表 '!$V142)</f>
        <v>0</v>
      </c>
      <c r="AG50" s="174" t="s">
        <v>339</v>
      </c>
      <c r="AH50" s="175">
        <f>IF('Dブロック対戦表 '!$Q142="","",'Dブロック対戦表 '!$Q142)</f>
        <v>0</v>
      </c>
      <c r="AI50" s="152" t="str">
        <f t="shared" si="53"/>
        <v>●</v>
      </c>
      <c r="AJ50" s="173">
        <f>IF('Dブロック対戦表 '!$V206="","",'Dブロック対戦表 '!$V206)</f>
        <v>0</v>
      </c>
      <c r="AK50" s="174" t="s">
        <v>339</v>
      </c>
      <c r="AL50" s="175">
        <f>IF('Dブロック対戦表 '!$Q206="","",'Dブロック対戦表 '!$Q206)</f>
        <v>1</v>
      </c>
      <c r="AM50" s="209"/>
      <c r="AN50" s="173"/>
      <c r="AO50" s="174" t="s">
        <v>339</v>
      </c>
      <c r="AP50" s="186"/>
      <c r="AQ50" s="159">
        <f t="shared" si="54"/>
        <v>6</v>
      </c>
      <c r="AR50" s="160">
        <f t="shared" si="55"/>
        <v>4</v>
      </c>
      <c r="AS50" s="160">
        <f t="shared" si="56"/>
        <v>1</v>
      </c>
      <c r="AT50" s="160">
        <f t="shared" si="57"/>
        <v>4</v>
      </c>
      <c r="AU50" s="161">
        <f t="shared" si="58"/>
        <v>1</v>
      </c>
      <c r="AV50" s="162">
        <f>AW50-SUM(F50,J50,N50,R50,V50,Z50,AD50,AH50,AL50,AP50)</f>
        <v>-5</v>
      </c>
      <c r="AW50" s="163">
        <f>SUM(D50,H50,L50,P50,T50,X50,AB50,AF50,AJ50,AN50)</f>
        <v>1</v>
      </c>
      <c r="AX50" s="164">
        <f t="shared" si="63"/>
        <v>7</v>
      </c>
      <c r="AY50" s="154">
        <f t="shared" si="61"/>
        <v>39501</v>
      </c>
      <c r="AZ50" s="164">
        <f t="shared" si="30"/>
        <v>23</v>
      </c>
    </row>
    <row r="51" spans="1:52" ht="25.5" customHeight="1" x14ac:dyDescent="0.4">
      <c r="A51" s="167">
        <v>6</v>
      </c>
      <c r="B51" s="151" t="str">
        <f>VLOOKUP(A51,U12組合せ!B$10:K$20,9,TRUE)</f>
        <v>SUGAOプロミネンス</v>
      </c>
      <c r="C51" s="152" t="str">
        <f t="shared" si="62"/>
        <v/>
      </c>
      <c r="D51" s="179" t="str">
        <f>IF(Z46="","",Z46)</f>
        <v/>
      </c>
      <c r="E51" s="180" t="s">
        <v>343</v>
      </c>
      <c r="F51" s="181" t="str">
        <f>IF(X46="","",X46)</f>
        <v/>
      </c>
      <c r="G51" s="152" t="str">
        <f t="shared" si="64"/>
        <v>●</v>
      </c>
      <c r="H51" s="179">
        <f>IF(Z47="","",Z47)</f>
        <v>0</v>
      </c>
      <c r="I51" s="180" t="s">
        <v>343</v>
      </c>
      <c r="J51" s="181">
        <f>IF(X47="","",X47)</f>
        <v>3</v>
      </c>
      <c r="K51" s="152" t="str">
        <f t="shared" si="65"/>
        <v>●</v>
      </c>
      <c r="L51" s="184">
        <f>IF(Z48="","",Z48)</f>
        <v>0</v>
      </c>
      <c r="M51" s="174" t="s">
        <v>343</v>
      </c>
      <c r="N51" s="184">
        <f>IF(X48="","",X48)</f>
        <v>3</v>
      </c>
      <c r="O51" s="152" t="str">
        <f t="shared" si="66"/>
        <v>●</v>
      </c>
      <c r="P51" s="184">
        <f>IF(Z49="","",Z49)</f>
        <v>0</v>
      </c>
      <c r="Q51" s="174" t="s">
        <v>343</v>
      </c>
      <c r="R51" s="185">
        <f>IF(X49="","",X49)</f>
        <v>10</v>
      </c>
      <c r="S51" s="152" t="str">
        <f>IF(T51="","",(IF(T51-V51&gt;0,"○",IF(T51-V51&lt;0,"●","△"))))</f>
        <v>●</v>
      </c>
      <c r="T51" s="184">
        <f>IF(Z50="","",Z50)</f>
        <v>0</v>
      </c>
      <c r="U51" s="174" t="s">
        <v>343</v>
      </c>
      <c r="V51" s="185">
        <f>IF(X50="","",X50)</f>
        <v>1</v>
      </c>
      <c r="W51" s="973"/>
      <c r="X51" s="971"/>
      <c r="Y51" s="971"/>
      <c r="Z51" s="972"/>
      <c r="AA51" s="152" t="str">
        <f t="shared" si="51"/>
        <v>●</v>
      </c>
      <c r="AB51" s="176">
        <f>IF('Dブロック対戦表 '!$V238="","",'Dブロック対戦表 '!$V238)</f>
        <v>0</v>
      </c>
      <c r="AC51" s="174" t="s">
        <v>339</v>
      </c>
      <c r="AD51" s="176">
        <f>IF('Dブロック対戦表 '!$Q238="","",'Dブロック対戦表 '!$Q238)</f>
        <v>12</v>
      </c>
      <c r="AE51" s="152" t="str">
        <f t="shared" si="52"/>
        <v/>
      </c>
      <c r="AF51" s="172" t="str">
        <f>IF('Dブロック対戦表 '!$V302="","",'Dブロック対戦表 '!$V302)</f>
        <v/>
      </c>
      <c r="AG51" s="171" t="s">
        <v>339</v>
      </c>
      <c r="AH51" s="172" t="str">
        <f>IF('Dブロック対戦表 '!$Q302="","",'Dブロック対戦表 '!$Q302)</f>
        <v/>
      </c>
      <c r="AI51" s="152" t="str">
        <f t="shared" si="53"/>
        <v>●</v>
      </c>
      <c r="AJ51" s="173">
        <f>IF('Dブロック対戦表 '!$V174="","",'Dブロック対戦表 '!$V174)</f>
        <v>1</v>
      </c>
      <c r="AK51" s="174" t="s">
        <v>339</v>
      </c>
      <c r="AL51" s="175">
        <f>IF('Dブロック対戦表 '!$Q174="","",'Dブロック対戦表 '!$Q174)</f>
        <v>3</v>
      </c>
      <c r="AM51" s="209"/>
      <c r="AN51" s="173"/>
      <c r="AO51" s="174" t="s">
        <v>339</v>
      </c>
      <c r="AP51" s="187"/>
      <c r="AQ51" s="159">
        <f t="shared" si="54"/>
        <v>6</v>
      </c>
      <c r="AR51" s="160">
        <f t="shared" si="55"/>
        <v>0</v>
      </c>
      <c r="AS51" s="160">
        <f t="shared" si="56"/>
        <v>0</v>
      </c>
      <c r="AT51" s="160">
        <f t="shared" si="57"/>
        <v>6</v>
      </c>
      <c r="AU51" s="161">
        <f t="shared" si="58"/>
        <v>0</v>
      </c>
      <c r="AV51" s="162">
        <f t="shared" si="59"/>
        <v>-31</v>
      </c>
      <c r="AW51" s="163">
        <f>SUM(D51,H51,L51,P51,T51,X51,AB51,AF51,AJ51,AN51)</f>
        <v>1</v>
      </c>
      <c r="AX51" s="164">
        <f t="shared" si="63"/>
        <v>9</v>
      </c>
      <c r="AY51" s="154">
        <f t="shared" si="61"/>
        <v>-3099</v>
      </c>
      <c r="AZ51" s="164">
        <f t="shared" si="30"/>
        <v>27</v>
      </c>
    </row>
    <row r="52" spans="1:52" ht="25.5" customHeight="1" x14ac:dyDescent="0.4">
      <c r="A52" s="167">
        <v>7</v>
      </c>
      <c r="B52" s="151" t="str">
        <f>VLOOKUP(A52,U12組合せ!B$10:K$20,9,TRUE)</f>
        <v>宝木キッカーズ</v>
      </c>
      <c r="C52" s="152" t="str">
        <f t="shared" si="62"/>
        <v>○</v>
      </c>
      <c r="D52" s="179">
        <f>IF(AD46="","",AD46)</f>
        <v>7</v>
      </c>
      <c r="E52" s="180" t="s">
        <v>343</v>
      </c>
      <c r="F52" s="181">
        <f>IF(AB46="","",AB46)</f>
        <v>0</v>
      </c>
      <c r="G52" s="152" t="str">
        <f t="shared" si="64"/>
        <v>●</v>
      </c>
      <c r="H52" s="179">
        <f>IF(AD47="","",AD47)</f>
        <v>3</v>
      </c>
      <c r="I52" s="180" t="s">
        <v>343</v>
      </c>
      <c r="J52" s="181">
        <f>IF(AB47="","",AB47)</f>
        <v>5</v>
      </c>
      <c r="K52" s="152" t="str">
        <f t="shared" si="65"/>
        <v/>
      </c>
      <c r="L52" s="184" t="str">
        <f>IF(AD48="","",AD48)</f>
        <v/>
      </c>
      <c r="M52" s="174" t="s">
        <v>343</v>
      </c>
      <c r="N52" s="184" t="str">
        <f>IF(AB48="","",AB48)</f>
        <v/>
      </c>
      <c r="O52" s="152" t="str">
        <f t="shared" si="66"/>
        <v>○</v>
      </c>
      <c r="P52" s="184">
        <f>IF(AD49="","",AD49)</f>
        <v>2</v>
      </c>
      <c r="Q52" s="174" t="s">
        <v>343</v>
      </c>
      <c r="R52" s="185">
        <f>IF(AB49="","",AB49)</f>
        <v>1</v>
      </c>
      <c r="S52" s="152" t="str">
        <f>IF(T52="","",(IF(T52-V52&gt;0,"○",IF(T52-V52&lt;0,"●","△"))))</f>
        <v/>
      </c>
      <c r="T52" s="184" t="str">
        <f>IF(AD50="","",AD50)</f>
        <v/>
      </c>
      <c r="U52" s="174" t="s">
        <v>343</v>
      </c>
      <c r="V52" s="185" t="str">
        <f>IF(AB50="","",AB50)</f>
        <v/>
      </c>
      <c r="W52" s="152" t="str">
        <f>IF(X52="","",(IF(X52-Z52&gt;0,"○",IF(X52-Z52&lt;0,"●","△"))))</f>
        <v>○</v>
      </c>
      <c r="X52" s="184">
        <f>IF(AD51="","",AD51)</f>
        <v>12</v>
      </c>
      <c r="Y52" s="174" t="s">
        <v>343</v>
      </c>
      <c r="Z52" s="185">
        <f>IF(AB51="","",AB51)</f>
        <v>0</v>
      </c>
      <c r="AA52" s="973"/>
      <c r="AB52" s="971"/>
      <c r="AC52" s="971"/>
      <c r="AD52" s="972"/>
      <c r="AE52" s="152" t="str">
        <f t="shared" si="52"/>
        <v>●</v>
      </c>
      <c r="AF52" s="242">
        <f>IF('Dブロック対戦表 '!$Q76="","",'Dブロック対戦表 '!$Q76)</f>
        <v>0</v>
      </c>
      <c r="AG52" s="171" t="s">
        <v>339</v>
      </c>
      <c r="AH52" s="242">
        <f>IF('Dブロック対戦表 '!$V76="","",'Dブロック対戦表 '!$V76)</f>
        <v>4</v>
      </c>
      <c r="AI52" s="183" t="str">
        <f t="shared" si="53"/>
        <v>○</v>
      </c>
      <c r="AJ52" s="188">
        <f>IF('Dブロック対戦表 '!$V80="","",'Dブロック対戦表 '!$V80)</f>
        <v>3</v>
      </c>
      <c r="AK52" s="171" t="s">
        <v>339</v>
      </c>
      <c r="AL52" s="175">
        <f>IF('Dブロック対戦表 '!$Q80="","",'Dブロック対戦表 '!$Q80)</f>
        <v>2</v>
      </c>
      <c r="AM52" s="211"/>
      <c r="AN52" s="188"/>
      <c r="AO52" s="171" t="s">
        <v>339</v>
      </c>
      <c r="AP52" s="187"/>
      <c r="AQ52" s="159">
        <f t="shared" si="54"/>
        <v>6</v>
      </c>
      <c r="AR52" s="160">
        <f t="shared" si="55"/>
        <v>12</v>
      </c>
      <c r="AS52" s="160">
        <f t="shared" si="56"/>
        <v>4</v>
      </c>
      <c r="AT52" s="160">
        <f t="shared" si="57"/>
        <v>2</v>
      </c>
      <c r="AU52" s="161">
        <f t="shared" si="58"/>
        <v>0</v>
      </c>
      <c r="AV52" s="162">
        <f t="shared" si="59"/>
        <v>15</v>
      </c>
      <c r="AW52" s="163">
        <f>SUM(D52,H52,L52,P52,T52,X52,AB52,AF52,AJ52,AN52)</f>
        <v>27</v>
      </c>
      <c r="AX52" s="164">
        <f>RANK(AY52,AY$46:AY$54)</f>
        <v>4</v>
      </c>
      <c r="AY52" s="154">
        <f t="shared" si="61"/>
        <v>121527</v>
      </c>
      <c r="AZ52" s="164">
        <f t="shared" si="30"/>
        <v>7</v>
      </c>
    </row>
    <row r="53" spans="1:52" ht="25.5" customHeight="1" x14ac:dyDescent="0.4">
      <c r="A53" s="167">
        <v>8</v>
      </c>
      <c r="B53" s="151" t="str">
        <f>VLOOKUP(A53,U12組合せ!B$10:K$20,9,TRUE)</f>
        <v>陽東SSS</v>
      </c>
      <c r="C53" s="152" t="str">
        <f t="shared" si="62"/>
        <v/>
      </c>
      <c r="D53" s="179" t="str">
        <f>IF(AH46="","",AH46)</f>
        <v/>
      </c>
      <c r="E53" s="180" t="s">
        <v>343</v>
      </c>
      <c r="F53" s="181" t="str">
        <f>IF(AF46="","",AF46)</f>
        <v/>
      </c>
      <c r="G53" s="152" t="str">
        <f t="shared" si="64"/>
        <v>○</v>
      </c>
      <c r="H53" s="179">
        <f>IF(AH47="","",AH47)</f>
        <v>1</v>
      </c>
      <c r="I53" s="180" t="s">
        <v>343</v>
      </c>
      <c r="J53" s="181">
        <f>IF(AF47="","",AF47)</f>
        <v>0</v>
      </c>
      <c r="K53" s="152" t="str">
        <f t="shared" si="65"/>
        <v>○</v>
      </c>
      <c r="L53" s="184">
        <f>IF(AH48="","",AH48)</f>
        <v>4</v>
      </c>
      <c r="M53" s="174" t="s">
        <v>343</v>
      </c>
      <c r="N53" s="184">
        <f>IF(AF48="","",AF48)</f>
        <v>0</v>
      </c>
      <c r="O53" s="152" t="str">
        <f t="shared" si="66"/>
        <v>△</v>
      </c>
      <c r="P53" s="184">
        <f>IF(AH49="","",AH49)</f>
        <v>1</v>
      </c>
      <c r="Q53" s="174" t="s">
        <v>343</v>
      </c>
      <c r="R53" s="185">
        <f>IF(AF49="","",AF49)</f>
        <v>1</v>
      </c>
      <c r="S53" s="152" t="str">
        <f>IF(T53="","",(IF(T53-V53&gt;0,"○",IF(T53-V53&lt;0,"●","△"))))</f>
        <v>△</v>
      </c>
      <c r="T53" s="184">
        <f>IF(AH50="","",AH50)</f>
        <v>0</v>
      </c>
      <c r="U53" s="174" t="s">
        <v>343</v>
      </c>
      <c r="V53" s="185">
        <f>IF(AF50="","",AF50)</f>
        <v>0</v>
      </c>
      <c r="W53" s="152" t="str">
        <f>IF(X53="","",(IF(X53-Z53&gt;0,"○",IF(X53-Z53&lt;0,"●","△"))))</f>
        <v/>
      </c>
      <c r="X53" s="184" t="str">
        <f>IF(AH51="","",AH51)</f>
        <v/>
      </c>
      <c r="Y53" s="174" t="s">
        <v>343</v>
      </c>
      <c r="Z53" s="185" t="str">
        <f>IF(AF51="","",AF51)</f>
        <v/>
      </c>
      <c r="AA53" s="152" t="str">
        <f>IF(AB53="","",(IF(AB53-AD53&gt;0,"○",IF(AB53-AD53&lt;0,"●","△"))))</f>
        <v>○</v>
      </c>
      <c r="AB53" s="184">
        <f>IF(AH52="","",AH52)</f>
        <v>4</v>
      </c>
      <c r="AC53" s="174" t="s">
        <v>343</v>
      </c>
      <c r="AD53" s="185">
        <f>IF(AF52="","",AF52)</f>
        <v>0</v>
      </c>
      <c r="AE53" s="973"/>
      <c r="AF53" s="971"/>
      <c r="AG53" s="971"/>
      <c r="AH53" s="972"/>
      <c r="AI53" s="183" t="str">
        <f t="shared" si="53"/>
        <v>△</v>
      </c>
      <c r="AJ53" s="188">
        <f>IF('Dブロック対戦表 '!$V78="","",'Dブロック対戦表 '!$V78)</f>
        <v>0</v>
      </c>
      <c r="AK53" s="171" t="s">
        <v>339</v>
      </c>
      <c r="AL53" s="175">
        <f>IF('Dブロック対戦表 '!$Q78="","",'Dブロック対戦表 '!$Q78)</f>
        <v>0</v>
      </c>
      <c r="AM53" s="211"/>
      <c r="AN53" s="188"/>
      <c r="AO53" s="171" t="s">
        <v>339</v>
      </c>
      <c r="AP53" s="187"/>
      <c r="AQ53" s="159">
        <f t="shared" si="54"/>
        <v>6</v>
      </c>
      <c r="AR53" s="160">
        <f t="shared" si="55"/>
        <v>12</v>
      </c>
      <c r="AS53" s="160">
        <f t="shared" si="56"/>
        <v>3</v>
      </c>
      <c r="AT53" s="160">
        <f t="shared" si="57"/>
        <v>0</v>
      </c>
      <c r="AU53" s="161">
        <f t="shared" si="58"/>
        <v>3</v>
      </c>
      <c r="AV53" s="162">
        <f t="shared" si="59"/>
        <v>9</v>
      </c>
      <c r="AW53" s="163">
        <f>SUM(D53,H53,L53,P53,T53,X53,AB53,AF53,AJ53,AN53)</f>
        <v>10</v>
      </c>
      <c r="AX53" s="164">
        <f t="shared" si="63"/>
        <v>5</v>
      </c>
      <c r="AY53" s="154">
        <f t="shared" si="61"/>
        <v>120910</v>
      </c>
      <c r="AZ53" s="164">
        <f t="shared" si="30"/>
        <v>8</v>
      </c>
    </row>
    <row r="54" spans="1:52" ht="25.5" customHeight="1" thickBot="1" x14ac:dyDescent="0.45">
      <c r="A54" s="167">
        <v>9</v>
      </c>
      <c r="B54" s="151" t="str">
        <f>VLOOKUP(A54,U12組合せ!B$10:K$20,9,TRUE)</f>
        <v>ジュベニール</v>
      </c>
      <c r="C54" s="223" t="str">
        <f t="shared" si="62"/>
        <v>○</v>
      </c>
      <c r="D54" s="224">
        <f>IF(AL46="","",AL46)</f>
        <v>3</v>
      </c>
      <c r="E54" s="225" t="s">
        <v>343</v>
      </c>
      <c r="F54" s="226">
        <f>IF(AJ46="","",AJ46)</f>
        <v>1</v>
      </c>
      <c r="G54" s="183" t="str">
        <f t="shared" si="64"/>
        <v/>
      </c>
      <c r="H54" s="224" t="str">
        <f>IF(AL47="","",AL47)</f>
        <v/>
      </c>
      <c r="I54" s="225" t="s">
        <v>343</v>
      </c>
      <c r="J54" s="226" t="str">
        <f>IF(AJ47="","",AJ47)</f>
        <v/>
      </c>
      <c r="K54" s="183" t="str">
        <f t="shared" si="65"/>
        <v>○</v>
      </c>
      <c r="L54" s="184">
        <f>IF(AL48="","",AL48)</f>
        <v>3</v>
      </c>
      <c r="M54" s="174" t="s">
        <v>343</v>
      </c>
      <c r="N54" s="184">
        <f>IF(AJ48="","",AJ48)</f>
        <v>2</v>
      </c>
      <c r="O54" s="183" t="str">
        <f t="shared" si="66"/>
        <v/>
      </c>
      <c r="P54" s="184" t="str">
        <f>IF(AL49="","",AL49)</f>
        <v/>
      </c>
      <c r="Q54" s="174" t="s">
        <v>343</v>
      </c>
      <c r="R54" s="185" t="str">
        <f>IF(AJ49="","",AJ49)</f>
        <v/>
      </c>
      <c r="S54" s="183" t="str">
        <f>IF(T54="","",(IF(T54-V54&gt;0,"○",IF(T54-V54&lt;0,"●","△"))))</f>
        <v>○</v>
      </c>
      <c r="T54" s="184">
        <f>IF(AL50="","",AL50)</f>
        <v>1</v>
      </c>
      <c r="U54" s="174" t="s">
        <v>343</v>
      </c>
      <c r="V54" s="185">
        <f>IF(AJ50="","",AJ50)</f>
        <v>0</v>
      </c>
      <c r="W54" s="183" t="str">
        <f>IF(X54="","",(IF(X54-Z54&gt;0,"○",IF(X54-Z54&lt;0,"●","△"))))</f>
        <v>○</v>
      </c>
      <c r="X54" s="184">
        <f>IF(AL51="","",AL51)</f>
        <v>3</v>
      </c>
      <c r="Y54" s="174" t="s">
        <v>343</v>
      </c>
      <c r="Z54" s="185">
        <f>IF(AJ51="","",AJ51)</f>
        <v>1</v>
      </c>
      <c r="AA54" s="183" t="str">
        <f>IF(AB54="","",(IF(AB54-AD54&gt;0,"○",IF(AB54-AD54&lt;0,"●","△"))))</f>
        <v>●</v>
      </c>
      <c r="AB54" s="184">
        <f>IF(AL52="","",AL52)</f>
        <v>2</v>
      </c>
      <c r="AC54" s="174" t="s">
        <v>343</v>
      </c>
      <c r="AD54" s="185">
        <f>IF(AJ52="","",AJ52)</f>
        <v>3</v>
      </c>
      <c r="AE54" s="183" t="str">
        <f>IF(AF54="","",(IF(AF54-AH54&gt;0,"○",IF(AF54-AH54&lt;0,"●","△"))))</f>
        <v>△</v>
      </c>
      <c r="AF54" s="184">
        <f>IF(AL53="","",AL53)</f>
        <v>0</v>
      </c>
      <c r="AG54" s="174" t="s">
        <v>343</v>
      </c>
      <c r="AH54" s="185">
        <f>IF(AJ53="","",AJ53)</f>
        <v>0</v>
      </c>
      <c r="AI54" s="973"/>
      <c r="AJ54" s="971"/>
      <c r="AK54" s="971"/>
      <c r="AL54" s="972"/>
      <c r="AM54" s="211"/>
      <c r="AN54" s="188"/>
      <c r="AO54" s="171" t="s">
        <v>339</v>
      </c>
      <c r="AP54" s="187"/>
      <c r="AQ54" s="190">
        <f t="shared" si="54"/>
        <v>6</v>
      </c>
      <c r="AR54" s="191">
        <f t="shared" si="55"/>
        <v>13</v>
      </c>
      <c r="AS54" s="191">
        <f t="shared" si="56"/>
        <v>4</v>
      </c>
      <c r="AT54" s="191">
        <f t="shared" si="57"/>
        <v>1</v>
      </c>
      <c r="AU54" s="192">
        <f t="shared" si="58"/>
        <v>1</v>
      </c>
      <c r="AV54" s="193">
        <f t="shared" si="59"/>
        <v>5</v>
      </c>
      <c r="AW54" s="194">
        <f t="shared" si="60"/>
        <v>12</v>
      </c>
      <c r="AX54" s="195">
        <f t="shared" si="63"/>
        <v>3</v>
      </c>
      <c r="AY54" s="154">
        <f t="shared" si="61"/>
        <v>130512</v>
      </c>
      <c r="AZ54" s="262">
        <f t="shared" si="30"/>
        <v>6</v>
      </c>
    </row>
    <row r="55" spans="1:52" ht="25.5" customHeight="1" thickBot="1" x14ac:dyDescent="0.45">
      <c r="A55" s="261">
        <v>10</v>
      </c>
      <c r="B55" s="214">
        <f>VLOOKUP(A55,U12組合せ!B$10:K$20,9,TRUE)</f>
        <v>0</v>
      </c>
      <c r="C55" s="189" t="str">
        <f>IF(D55="","",(IF(D55-F55&gt;0,"○",IF(D55-F55&lt;0,"●","△"))))</f>
        <v/>
      </c>
      <c r="D55" s="219" t="str">
        <f>IF(AP46="","",AP46)</f>
        <v/>
      </c>
      <c r="E55" s="220" t="s">
        <v>343</v>
      </c>
      <c r="F55" s="221" t="str">
        <f>IF(AN46="","",AN46)</f>
        <v/>
      </c>
      <c r="G55" s="189" t="str">
        <f>IF(H55="","",(IF(H55-J55&gt;0,"○",IF(H55-J55&lt;0,"●","△"))))</f>
        <v/>
      </c>
      <c r="H55" s="219" t="str">
        <f>IF(AP47="","",AP47)</f>
        <v/>
      </c>
      <c r="I55" s="220" t="s">
        <v>343</v>
      </c>
      <c r="J55" s="221" t="str">
        <f>IF(AN47="","",AN47)</f>
        <v/>
      </c>
      <c r="K55" s="189" t="str">
        <f>IF(L55="","",(IF(L55-N55&gt;0,"○",IF(L55-N55&lt;0,"●","△"))))</f>
        <v/>
      </c>
      <c r="L55" s="219" t="str">
        <f>IF(AP48="","",AP48)</f>
        <v/>
      </c>
      <c r="M55" s="220" t="s">
        <v>343</v>
      </c>
      <c r="N55" s="219" t="str">
        <f>IF(AN48="","",AN48)</f>
        <v/>
      </c>
      <c r="O55" s="189" t="str">
        <f t="shared" si="66"/>
        <v/>
      </c>
      <c r="P55" s="219" t="str">
        <f>IF(AP49="","",AP49)</f>
        <v/>
      </c>
      <c r="Q55" s="220" t="s">
        <v>343</v>
      </c>
      <c r="R55" s="221" t="str">
        <f>IF(AN49="","",AN49)</f>
        <v/>
      </c>
      <c r="S55" s="189" t="str">
        <f>IF(T55="","",(IF(T55-V55&gt;0,"○",IF(T55-V55&lt;0,"●","△"))))</f>
        <v/>
      </c>
      <c r="T55" s="219" t="str">
        <f>IF(AP50="","",AP50)</f>
        <v/>
      </c>
      <c r="U55" s="220" t="s">
        <v>343</v>
      </c>
      <c r="V55" s="221" t="str">
        <f>IF(AN50="","",AN50)</f>
        <v/>
      </c>
      <c r="W55" s="189" t="str">
        <f>IF(X55="","",(IF(X55-Z55&gt;0,"○",IF(X55-Z55&lt;0,"●","△"))))</f>
        <v/>
      </c>
      <c r="X55" s="219" t="str">
        <f>IF(AP51="","",AP51)</f>
        <v/>
      </c>
      <c r="Y55" s="220" t="s">
        <v>343</v>
      </c>
      <c r="Z55" s="221" t="str">
        <f>IF(AN51="","",AN51)</f>
        <v/>
      </c>
      <c r="AA55" s="189" t="str">
        <f>IF(AB55="","",(IF(AB55-AD55&gt;0,"○",IF(AB55-AD55&lt;0,"●","△"))))</f>
        <v/>
      </c>
      <c r="AB55" s="219" t="str">
        <f>IF(AP52="","",AP52)</f>
        <v/>
      </c>
      <c r="AC55" s="220" t="s">
        <v>343</v>
      </c>
      <c r="AD55" s="221" t="str">
        <f>IF(AN52="","",AN52)</f>
        <v/>
      </c>
      <c r="AE55" s="189" t="str">
        <f>IF(AF55="","",(IF(AF55-AH55&gt;0,"○",IF(AF55-AH55&lt;0,"●","△"))))</f>
        <v/>
      </c>
      <c r="AF55" s="219" t="str">
        <f>IF(AP53="","",AP53)</f>
        <v/>
      </c>
      <c r="AG55" s="220" t="s">
        <v>343</v>
      </c>
      <c r="AH55" s="221" t="str">
        <f>IF(AN53="","",AN53)</f>
        <v/>
      </c>
      <c r="AI55" s="189" t="str">
        <f>IF(AJ55="","",(IF(AJ55-AL55&gt;0,"○",IF(AJ55-AL55&lt;0,"●","△"))))</f>
        <v/>
      </c>
      <c r="AJ55" s="219" t="str">
        <f>IF(AP54="","",AP54)</f>
        <v/>
      </c>
      <c r="AK55" s="220" t="s">
        <v>343</v>
      </c>
      <c r="AL55" s="221" t="str">
        <f>IF(AN54="","",AN54)</f>
        <v/>
      </c>
      <c r="AM55" s="986"/>
      <c r="AN55" s="986"/>
      <c r="AO55" s="986"/>
      <c r="AP55" s="987"/>
      <c r="AQ55" s="255"/>
      <c r="AR55" s="256"/>
      <c r="AS55" s="256"/>
      <c r="AT55" s="256"/>
      <c r="AU55" s="257"/>
      <c r="AV55" s="258"/>
      <c r="AW55" s="259"/>
      <c r="AX55" s="260"/>
      <c r="AY55" s="264"/>
      <c r="AZ55" s="267"/>
    </row>
    <row r="57" spans="1:52" x14ac:dyDescent="0.4">
      <c r="B57" s="215"/>
      <c r="C57" s="216"/>
    </row>
    <row r="58" spans="1:52" x14ac:dyDescent="0.4">
      <c r="B58" s="217"/>
      <c r="C58" s="218"/>
      <c r="D58" s="218"/>
      <c r="E58" s="218"/>
      <c r="F58" s="218"/>
      <c r="G58" s="218"/>
      <c r="L58" s="216"/>
      <c r="M58" s="216"/>
      <c r="N58" s="216"/>
      <c r="O58" s="216"/>
    </row>
    <row r="59" spans="1:52" x14ac:dyDescent="0.4">
      <c r="B59" s="217"/>
      <c r="C59" s="218"/>
      <c r="D59" s="218"/>
      <c r="E59" s="218"/>
      <c r="F59" s="218"/>
      <c r="G59" s="218"/>
      <c r="L59" s="218"/>
      <c r="M59" s="218"/>
      <c r="N59" s="218"/>
      <c r="O59" s="218"/>
    </row>
    <row r="60" spans="1:52" x14ac:dyDescent="0.4">
      <c r="B60" s="217"/>
      <c r="C60" s="218"/>
      <c r="D60" s="218"/>
      <c r="E60" s="218"/>
      <c r="F60" s="218"/>
      <c r="G60" s="218"/>
      <c r="L60" s="218"/>
      <c r="M60" s="218"/>
      <c r="N60" s="218"/>
      <c r="O60" s="218"/>
    </row>
    <row r="61" spans="1:52" x14ac:dyDescent="0.4">
      <c r="B61" s="217"/>
      <c r="C61" s="218"/>
      <c r="L61" s="218"/>
      <c r="M61" s="218"/>
      <c r="N61" s="218"/>
      <c r="O61" s="218"/>
    </row>
    <row r="62" spans="1:52" x14ac:dyDescent="0.4">
      <c r="B62" s="217"/>
      <c r="C62" s="218"/>
      <c r="E62" s="978"/>
      <c r="F62" s="978"/>
      <c r="G62" s="978"/>
      <c r="H62" s="978"/>
      <c r="I62" s="978"/>
      <c r="J62" s="978"/>
      <c r="L62" s="218"/>
      <c r="M62" s="218"/>
      <c r="N62" s="218"/>
      <c r="O62" s="218"/>
    </row>
    <row r="63" spans="1:52" x14ac:dyDescent="0.4">
      <c r="B63" s="217"/>
      <c r="C63" s="218"/>
      <c r="L63" s="218"/>
      <c r="M63" s="218"/>
      <c r="N63" s="218"/>
      <c r="O63" s="218"/>
    </row>
    <row r="64" spans="1:52" x14ac:dyDescent="0.4">
      <c r="L64" s="218"/>
      <c r="M64" s="218"/>
      <c r="N64" s="218"/>
      <c r="O64" s="218"/>
    </row>
  </sheetData>
  <sheetProtection selectLockedCells="1"/>
  <mergeCells count="81">
    <mergeCell ref="AM55:AP55"/>
    <mergeCell ref="AI26:AL26"/>
    <mergeCell ref="AM27:AP27"/>
    <mergeCell ref="AI30:AL30"/>
    <mergeCell ref="AI39:AL39"/>
    <mergeCell ref="AM40:AP40"/>
    <mergeCell ref="AM30:AP30"/>
    <mergeCell ref="AM45:AP45"/>
    <mergeCell ref="AM3:AP3"/>
    <mergeCell ref="AM13:AP13"/>
    <mergeCell ref="O34:R34"/>
    <mergeCell ref="S35:V35"/>
    <mergeCell ref="S22:V22"/>
    <mergeCell ref="W23:Z23"/>
    <mergeCell ref="AA24:AD24"/>
    <mergeCell ref="AE25:AH25"/>
    <mergeCell ref="AI3:AL3"/>
    <mergeCell ref="AE3:AH3"/>
    <mergeCell ref="AI12:AL12"/>
    <mergeCell ref="W17:Z17"/>
    <mergeCell ref="AA17:AD17"/>
    <mergeCell ref="AE17:AH17"/>
    <mergeCell ref="S3:V3"/>
    <mergeCell ref="W3:Z3"/>
    <mergeCell ref="S17:V17"/>
    <mergeCell ref="AA37:AD37"/>
    <mergeCell ref="W30:Z30"/>
    <mergeCell ref="AA30:AD30"/>
    <mergeCell ref="W36:Z36"/>
    <mergeCell ref="S30:V30"/>
    <mergeCell ref="AA3:AD3"/>
    <mergeCell ref="C3:F3"/>
    <mergeCell ref="G3:J3"/>
    <mergeCell ref="AM17:AP17"/>
    <mergeCell ref="S8:V8"/>
    <mergeCell ref="W9:Z9"/>
    <mergeCell ref="AA10:AD10"/>
    <mergeCell ref="AE11:AH11"/>
    <mergeCell ref="AI17:AL17"/>
    <mergeCell ref="K3:N3"/>
    <mergeCell ref="O3:R3"/>
    <mergeCell ref="C4:F4"/>
    <mergeCell ref="G5:J5"/>
    <mergeCell ref="K6:N6"/>
    <mergeCell ref="C17:F17"/>
    <mergeCell ref="G17:J17"/>
    <mergeCell ref="K48:N48"/>
    <mergeCell ref="K45:N45"/>
    <mergeCell ref="K20:N20"/>
    <mergeCell ref="O45:R45"/>
    <mergeCell ref="O7:R7"/>
    <mergeCell ref="O21:R21"/>
    <mergeCell ref="O30:R30"/>
    <mergeCell ref="K17:N17"/>
    <mergeCell ref="O17:R17"/>
    <mergeCell ref="C18:F18"/>
    <mergeCell ref="G19:J19"/>
    <mergeCell ref="C31:F31"/>
    <mergeCell ref="G32:J32"/>
    <mergeCell ref="K33:N33"/>
    <mergeCell ref="C30:F30"/>
    <mergeCell ref="G30:J30"/>
    <mergeCell ref="K30:N30"/>
    <mergeCell ref="E62:J62"/>
    <mergeCell ref="C45:F45"/>
    <mergeCell ref="G45:J45"/>
    <mergeCell ref="C46:F46"/>
    <mergeCell ref="G47:J47"/>
    <mergeCell ref="W51:Z51"/>
    <mergeCell ref="AA52:AD52"/>
    <mergeCell ref="AA45:AD45"/>
    <mergeCell ref="W45:Z45"/>
    <mergeCell ref="AI54:AL54"/>
    <mergeCell ref="AE53:AH53"/>
    <mergeCell ref="AI45:AL45"/>
    <mergeCell ref="AE30:AH30"/>
    <mergeCell ref="O49:R49"/>
    <mergeCell ref="S50:V50"/>
    <mergeCell ref="S45:V45"/>
    <mergeCell ref="AE45:AH45"/>
    <mergeCell ref="AE38:AH38"/>
  </mergeCells>
  <phoneticPr fontId="28"/>
  <pageMargins left="0.39370078740157483" right="0.11811023622047245" top="0.74803149606299213" bottom="0.98425196850393704" header="0.51181102362204722" footer="0.51181102362204722"/>
  <pageSetup paperSize="9" scale="60" firstPageNumber="0" orientation="landscape" horizontalDpi="300" verticalDpi="300" r:id="rId1"/>
  <headerFooter alignWithMargins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U12組合せ</vt:lpstr>
      <vt:lpstr>U12対戦スケジュール</vt:lpstr>
      <vt:lpstr>●</vt:lpstr>
      <vt:lpstr>Ａブロック対戦表</vt:lpstr>
      <vt:lpstr>Bブロック対戦表</vt:lpstr>
      <vt:lpstr>Cブロック対戦表 </vt:lpstr>
      <vt:lpstr>Dブロック対戦表 </vt:lpstr>
      <vt:lpstr>Ｕ１２リーグ ブロック別星取表</vt:lpstr>
      <vt:lpstr>Ａブロック対戦表!Print_Area</vt:lpstr>
      <vt:lpstr>Bブロック対戦表!Print_Area</vt:lpstr>
      <vt:lpstr>'Cブロック対戦表 '!Print_Area</vt:lpstr>
      <vt:lpstr>'Dブロック対戦表 '!Print_Area</vt:lpstr>
      <vt:lpstr>'Ｕ１２リーグ ブロック別星取表'!Print_Area</vt:lpstr>
      <vt:lpstr>U12組合せ!Print_Area</vt:lpstr>
      <vt:lpstr>U12対戦スケジュール!Print_Area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Ishige</dc:creator>
  <cp:lastModifiedBy>Ishige</cp:lastModifiedBy>
  <cp:lastPrinted>2021-04-30T06:50:09Z</cp:lastPrinted>
  <dcterms:created xsi:type="dcterms:W3CDTF">2017-04-03T06:48:00Z</dcterms:created>
  <dcterms:modified xsi:type="dcterms:W3CDTF">2021-05-20T02:48:20Z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